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SİM ERKİP\Documents\Nesim2021\Recent Courses\IE375\2024 Spring\"/>
    </mc:Choice>
  </mc:AlternateContent>
  <xr:revisionPtr revIDLastSave="0" documentId="8_{6C3E6850-4527-46F2-A6AF-182DED65C1B4}" xr6:coauthVersionLast="36" xr6:coauthVersionMax="36" xr10:uidLastSave="{00000000-0000-0000-0000-000000000000}"/>
  <bookViews>
    <workbookView xWindow="0" yWindow="0" windowWidth="38400" windowHeight="17850" tabRatio="885" activeTab="5" xr2:uid="{00000000-000D-0000-FFFF-FFFF00000000}"/>
  </bookViews>
  <sheets>
    <sheet name="Table 7.1" sheetId="13" r:id="rId1"/>
    <sheet name="Figure 7-7" sheetId="6" r:id="rId2"/>
    <sheet name="Figure 7-8" sheetId="7" r:id="rId3"/>
    <sheet name="Figure 7-9" sheetId="8" r:id="rId4"/>
    <sheet name="Figure 7-10" sheetId="10" r:id="rId5"/>
    <sheet name="Table 7-2" sheetId="17" r:id="rId6"/>
  </sheets>
  <definedNames>
    <definedName name="_xlnm.Print_Area" localSheetId="4">'Figure 7-10'!$A$1:$M$34</definedName>
    <definedName name="_xlnm.Print_Area" localSheetId="3">'Figure 7-9'!$A$1:$L$34</definedName>
    <definedName name="solver_adj" localSheetId="4" hidden="1">'Figure 7-10'!$B$20:$B$22</definedName>
    <definedName name="solver_adj" localSheetId="2" hidden="1">'Figure 7-8'!$B$20</definedName>
    <definedName name="solver_adj" localSheetId="3" hidden="1">'Figure 7-9'!$B$20:$B$21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lhs1" localSheetId="4" hidden="1">'Figure 7-10'!$B$20:$B$22</definedName>
    <definedName name="solver_lhs1" localSheetId="2" hidden="1">'Figure 7-8'!$B$20</definedName>
    <definedName name="solver_lhs1" localSheetId="3" hidden="1">'Figure 7-9'!$B$20:$B$21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neg" localSheetId="4" hidden="1">1</definedName>
    <definedName name="solver_neg" localSheetId="2" hidden="1">1</definedName>
    <definedName name="solver_neg" localSheetId="3" hidden="1">1</definedName>
    <definedName name="solver_num" localSheetId="4" hidden="1">1</definedName>
    <definedName name="solver_num" localSheetId="2" hidden="1">1</definedName>
    <definedName name="solver_num" localSheetId="3" hidden="1">1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opt" localSheetId="4" hidden="1">'Figure 7-10'!$J$14</definedName>
    <definedName name="solver_opt" localSheetId="2" hidden="1">'Figure 7-8'!$H$14</definedName>
    <definedName name="solver_opt" localSheetId="3" hidden="1">'Figure 7-9'!$I$14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rel1" localSheetId="4" hidden="1">1</definedName>
    <definedName name="solver_rel1" localSheetId="2" hidden="1">1</definedName>
    <definedName name="solver_rel1" localSheetId="3" hidden="1">1</definedName>
    <definedName name="solver_rhs1" localSheetId="4" hidden="1">1</definedName>
    <definedName name="solver_rhs1" localSheetId="2" hidden="1">1</definedName>
    <definedName name="solver_rhs1" localSheetId="3" hidden="1">1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yp" localSheetId="4" hidden="1">2</definedName>
    <definedName name="solver_typ" localSheetId="2" hidden="1">2</definedName>
    <definedName name="solver_typ" localSheetId="3" hidden="1">2</definedName>
    <definedName name="solver_val" localSheetId="4" hidden="1">0</definedName>
    <definedName name="solver_val" localSheetId="2" hidden="1">0</definedName>
    <definedName name="solver_val" localSheetId="3" hidden="1">0</definedName>
  </definedNames>
  <calcPr calcId="191029"/>
</workbook>
</file>

<file path=xl/calcChain.xml><?xml version="1.0" encoding="utf-8"?>
<calcChain xmlns="http://schemas.openxmlformats.org/spreadsheetml/2006/main">
  <c r="F3" i="10" l="1"/>
  <c r="G3" i="10" s="1"/>
  <c r="C3" i="10"/>
  <c r="D3" i="10" s="1"/>
  <c r="F4" i="10" s="1"/>
  <c r="G4" i="10" s="1"/>
  <c r="H4" i="10" s="1"/>
  <c r="K4" i="10" s="1"/>
  <c r="C5" i="6"/>
  <c r="D6" i="6" s="1"/>
  <c r="E6" i="6" s="1"/>
  <c r="C6" i="6"/>
  <c r="D7" i="6" s="1"/>
  <c r="E7" i="6" s="1"/>
  <c r="F7" i="6" s="1"/>
  <c r="I7" i="6" s="1"/>
  <c r="C7" i="6"/>
  <c r="D8" i="6" s="1"/>
  <c r="E8" i="6" s="1"/>
  <c r="F8" i="6" s="1"/>
  <c r="I8" i="6" s="1"/>
  <c r="C8" i="6"/>
  <c r="D9" i="6" s="1"/>
  <c r="E9" i="6" s="1"/>
  <c r="F9" i="6" s="1"/>
  <c r="I9" i="6" s="1"/>
  <c r="C9" i="6"/>
  <c r="D10" i="6" s="1"/>
  <c r="E10" i="6" s="1"/>
  <c r="F10" i="6" s="1"/>
  <c r="I10" i="6" s="1"/>
  <c r="C10" i="6"/>
  <c r="D11" i="6" s="1"/>
  <c r="E11" i="6" s="1"/>
  <c r="F11" i="6" s="1"/>
  <c r="I11" i="6" s="1"/>
  <c r="C11" i="6"/>
  <c r="D12" i="6" s="1"/>
  <c r="E12" i="6" s="1"/>
  <c r="F12" i="6" s="1"/>
  <c r="I12" i="6" s="1"/>
  <c r="C12" i="6"/>
  <c r="D13" i="6" s="1"/>
  <c r="E13" i="6" s="1"/>
  <c r="F13" i="6" s="1"/>
  <c r="I13" i="6" s="1"/>
  <c r="C2" i="7"/>
  <c r="D3" i="7" s="1"/>
  <c r="E3" i="7" s="1"/>
  <c r="E3" i="8"/>
  <c r="F3" i="8" s="1"/>
  <c r="C3" i="8"/>
  <c r="D3" i="8"/>
  <c r="E4" i="8" s="1"/>
  <c r="F4" i="8" s="1"/>
  <c r="G4" i="8" s="1"/>
  <c r="J4" i="8" s="1"/>
  <c r="C4" i="8"/>
  <c r="C13" i="6"/>
  <c r="D16" i="6" s="1"/>
  <c r="H4" i="8" l="1"/>
  <c r="C3" i="7"/>
  <c r="D4" i="7" s="1"/>
  <c r="E4" i="7" s="1"/>
  <c r="F6" i="6"/>
  <c r="G7" i="6"/>
  <c r="G8" i="6"/>
  <c r="G11" i="6"/>
  <c r="G9" i="6"/>
  <c r="G10" i="6"/>
  <c r="G12" i="6"/>
  <c r="G13" i="6"/>
  <c r="G6" i="6"/>
  <c r="F3" i="7"/>
  <c r="H3" i="7" s="1"/>
  <c r="K3" i="7" s="1"/>
  <c r="G3" i="7"/>
  <c r="C4" i="7"/>
  <c r="H3" i="10"/>
  <c r="J4" i="10" s="1"/>
  <c r="M4" i="10" s="1"/>
  <c r="I3" i="10"/>
  <c r="H11" i="6"/>
  <c r="K11" i="6" s="1"/>
  <c r="I6" i="6"/>
  <c r="J6" i="6" s="1"/>
  <c r="H9" i="6"/>
  <c r="K9" i="6" s="1"/>
  <c r="H7" i="6"/>
  <c r="K7" i="6" s="1"/>
  <c r="G4" i="7"/>
  <c r="F4" i="7"/>
  <c r="I4" i="7" s="1"/>
  <c r="D15" i="6"/>
  <c r="D14" i="6"/>
  <c r="D17" i="6"/>
  <c r="J13" i="6"/>
  <c r="C5" i="17" s="1"/>
  <c r="H3" i="8"/>
  <c r="J8" i="6"/>
  <c r="J12" i="6"/>
  <c r="D4" i="8"/>
  <c r="E5" i="8" s="1"/>
  <c r="F5" i="8" s="1"/>
  <c r="J11" i="6"/>
  <c r="G3" i="8"/>
  <c r="H12" i="6"/>
  <c r="K12" i="6" s="1"/>
  <c r="H10" i="6"/>
  <c r="K10" i="6" s="1"/>
  <c r="H8" i="6"/>
  <c r="K8" i="6" s="1"/>
  <c r="H6" i="6"/>
  <c r="K6" i="6" s="1"/>
  <c r="H13" i="6"/>
  <c r="I4" i="10"/>
  <c r="E7" i="10"/>
  <c r="C4" i="10"/>
  <c r="I3" i="7" l="1"/>
  <c r="J3" i="10"/>
  <c r="M3" i="10" s="1"/>
  <c r="K3" i="10"/>
  <c r="C5" i="8"/>
  <c r="H4" i="7"/>
  <c r="K4" i="7" s="1"/>
  <c r="C5" i="7"/>
  <c r="D5" i="7"/>
  <c r="E5" i="7" s="1"/>
  <c r="J7" i="6"/>
  <c r="J10" i="6"/>
  <c r="J9" i="6"/>
  <c r="E8" i="10"/>
  <c r="D4" i="10"/>
  <c r="F5" i="10" s="1"/>
  <c r="G5" i="10" s="1"/>
  <c r="E5" i="17"/>
  <c r="J3" i="8"/>
  <c r="I4" i="8"/>
  <c r="L4" i="8" s="1"/>
  <c r="I3" i="8"/>
  <c r="L3" i="8" s="1"/>
  <c r="L3" i="10"/>
  <c r="L4" i="10"/>
  <c r="D5" i="8"/>
  <c r="E6" i="8" s="1"/>
  <c r="F6" i="8" s="1"/>
  <c r="C6" i="8"/>
  <c r="B5" i="17"/>
  <c r="K13" i="6"/>
  <c r="D5" i="17" s="1"/>
  <c r="G5" i="8"/>
  <c r="J5" i="8" s="1"/>
  <c r="J4" i="7"/>
  <c r="J3" i="7"/>
  <c r="H5" i="8"/>
  <c r="C5" i="10" l="1"/>
  <c r="F5" i="7"/>
  <c r="G5" i="7"/>
  <c r="D6" i="7"/>
  <c r="E6" i="7" s="1"/>
  <c r="F6" i="7" s="1"/>
  <c r="I6" i="7" s="1"/>
  <c r="C6" i="7"/>
  <c r="H5" i="10"/>
  <c r="I5" i="10"/>
  <c r="D6" i="8"/>
  <c r="C7" i="8" s="1"/>
  <c r="G6" i="8"/>
  <c r="J6" i="8" s="1"/>
  <c r="K6" i="8" s="1"/>
  <c r="H6" i="8"/>
  <c r="D5" i="10"/>
  <c r="F6" i="10" s="1"/>
  <c r="G6" i="10" s="1"/>
  <c r="H6" i="10" s="1"/>
  <c r="K6" i="10" s="1"/>
  <c r="E9" i="10"/>
  <c r="K4" i="8"/>
  <c r="K3" i="8"/>
  <c r="K5" i="8"/>
  <c r="I5" i="8"/>
  <c r="L5" i="8" s="1"/>
  <c r="G6" i="7" l="1"/>
  <c r="E7" i="8"/>
  <c r="F7" i="8" s="1"/>
  <c r="H7" i="8" s="1"/>
  <c r="I5" i="7"/>
  <c r="H6" i="7"/>
  <c r="K6" i="7" s="1"/>
  <c r="H5" i="7"/>
  <c r="K5" i="7" s="1"/>
  <c r="D7" i="7"/>
  <c r="E7" i="7" s="1"/>
  <c r="F7" i="7" s="1"/>
  <c r="I7" i="7" s="1"/>
  <c r="C7" i="7"/>
  <c r="C6" i="10"/>
  <c r="E10" i="10" s="1"/>
  <c r="I6" i="8"/>
  <c r="L6" i="8" s="1"/>
  <c r="D7" i="8"/>
  <c r="E8" i="8" s="1"/>
  <c r="F8" i="8" s="1"/>
  <c r="K5" i="10"/>
  <c r="J6" i="10"/>
  <c r="M6" i="10" s="1"/>
  <c r="J5" i="10"/>
  <c r="M5" i="10" s="1"/>
  <c r="I6" i="10"/>
  <c r="D6" i="10" l="1"/>
  <c r="F7" i="10" s="1"/>
  <c r="G7" i="10" s="1"/>
  <c r="I7" i="10" s="1"/>
  <c r="G7" i="8"/>
  <c r="I7" i="8" s="1"/>
  <c r="L7" i="8" s="1"/>
  <c r="D8" i="7"/>
  <c r="E8" i="7" s="1"/>
  <c r="C8" i="7"/>
  <c r="H7" i="7"/>
  <c r="K7" i="7" s="1"/>
  <c r="J6" i="7"/>
  <c r="J5" i="7"/>
  <c r="G7" i="7"/>
  <c r="J7" i="7"/>
  <c r="H7" i="10"/>
  <c r="G8" i="8"/>
  <c r="J8" i="8" s="1"/>
  <c r="H8" i="8"/>
  <c r="J7" i="8"/>
  <c r="L5" i="10"/>
  <c r="L6" i="10"/>
  <c r="C8" i="8"/>
  <c r="C7" i="10" l="1"/>
  <c r="I8" i="8"/>
  <c r="L8" i="8" s="1"/>
  <c r="D9" i="7"/>
  <c r="E9" i="7" s="1"/>
  <c r="F9" i="7" s="1"/>
  <c r="I9" i="7" s="1"/>
  <c r="C9" i="7"/>
  <c r="F8" i="7"/>
  <c r="G8" i="7"/>
  <c r="K7" i="10"/>
  <c r="J7" i="10"/>
  <c r="M7" i="10" s="1"/>
  <c r="D8" i="8"/>
  <c r="C9" i="8" s="1"/>
  <c r="K7" i="8"/>
  <c r="K8" i="8"/>
  <c r="E11" i="10" l="1"/>
  <c r="D7" i="10"/>
  <c r="C8" i="10" s="1"/>
  <c r="E9" i="8"/>
  <c r="F9" i="8" s="1"/>
  <c r="G9" i="8" s="1"/>
  <c r="I8" i="7"/>
  <c r="J8" i="7" s="1"/>
  <c r="H8" i="7"/>
  <c r="K8" i="7" s="1"/>
  <c r="C10" i="7"/>
  <c r="D10" i="7"/>
  <c r="E10" i="7" s="1"/>
  <c r="G9" i="7"/>
  <c r="H9" i="7"/>
  <c r="K9" i="7" s="1"/>
  <c r="D9" i="8"/>
  <c r="E10" i="8" s="1"/>
  <c r="F10" i="8" s="1"/>
  <c r="L7" i="10"/>
  <c r="H9" i="8"/>
  <c r="J9" i="7" l="1"/>
  <c r="F8" i="10"/>
  <c r="G8" i="10" s="1"/>
  <c r="E12" i="10"/>
  <c r="D8" i="10"/>
  <c r="C9" i="10" s="1"/>
  <c r="H8" i="10"/>
  <c r="I8" i="10"/>
  <c r="F10" i="7"/>
  <c r="G10" i="7"/>
  <c r="D11" i="7"/>
  <c r="E11" i="7" s="1"/>
  <c r="F11" i="7" s="1"/>
  <c r="C11" i="7"/>
  <c r="G10" i="8"/>
  <c r="J10" i="8" s="1"/>
  <c r="H10" i="8"/>
  <c r="J9" i="8"/>
  <c r="I9" i="8"/>
  <c r="L9" i="8" s="1"/>
  <c r="C10" i="8"/>
  <c r="F9" i="10" l="1"/>
  <c r="G9" i="10" s="1"/>
  <c r="K8" i="10"/>
  <c r="L8" i="10" s="1"/>
  <c r="J8" i="10"/>
  <c r="M8" i="10" s="1"/>
  <c r="E13" i="10"/>
  <c r="D9" i="10"/>
  <c r="F10" i="10" s="1"/>
  <c r="G10" i="10" s="1"/>
  <c r="H10" i="10" s="1"/>
  <c r="K10" i="10" s="1"/>
  <c r="I9" i="10"/>
  <c r="H9" i="10"/>
  <c r="K9" i="10" s="1"/>
  <c r="C12" i="7"/>
  <c r="D12" i="7"/>
  <c r="E12" i="7" s="1"/>
  <c r="F12" i="7" s="1"/>
  <c r="I12" i="7" s="1"/>
  <c r="H11" i="7"/>
  <c r="K11" i="7" s="1"/>
  <c r="I11" i="7"/>
  <c r="G11" i="7"/>
  <c r="I10" i="7"/>
  <c r="J10" i="7" s="1"/>
  <c r="H10" i="7"/>
  <c r="K10" i="7" s="1"/>
  <c r="I10" i="8"/>
  <c r="L10" i="8" s="1"/>
  <c r="D10" i="8"/>
  <c r="C11" i="8" s="1"/>
  <c r="K10" i="8"/>
  <c r="K9" i="8"/>
  <c r="E11" i="8" l="1"/>
  <c r="F11" i="8" s="1"/>
  <c r="C10" i="10"/>
  <c r="J9" i="10"/>
  <c r="M9" i="10" s="1"/>
  <c r="J12" i="7"/>
  <c r="J11" i="7"/>
  <c r="I10" i="10"/>
  <c r="J10" i="10"/>
  <c r="M10" i="10" s="1"/>
  <c r="E14" i="10"/>
  <c r="D10" i="10"/>
  <c r="F11" i="10" s="1"/>
  <c r="G11" i="10" s="1"/>
  <c r="C13" i="7"/>
  <c r="D13" i="7"/>
  <c r="E13" i="7" s="1"/>
  <c r="F13" i="7" s="1"/>
  <c r="I13" i="7" s="1"/>
  <c r="H12" i="7"/>
  <c r="K12" i="7" s="1"/>
  <c r="G12" i="7"/>
  <c r="D11" i="8"/>
  <c r="E12" i="8" s="1"/>
  <c r="F12" i="8" s="1"/>
  <c r="G11" i="8"/>
  <c r="H11" i="8"/>
  <c r="L10" i="10"/>
  <c r="L9" i="10"/>
  <c r="H11" i="10" l="1"/>
  <c r="I11" i="10"/>
  <c r="C11" i="10"/>
  <c r="H13" i="7"/>
  <c r="K13" i="7" s="1"/>
  <c r="D14" i="7"/>
  <c r="E14" i="7" s="1"/>
  <c r="F14" i="7" s="1"/>
  <c r="I14" i="7" s="1"/>
  <c r="J14" i="7" s="1"/>
  <c r="C6" i="17" s="1"/>
  <c r="C14" i="7"/>
  <c r="H14" i="7"/>
  <c r="B6" i="17" s="1"/>
  <c r="G13" i="7"/>
  <c r="J13" i="7"/>
  <c r="G12" i="8"/>
  <c r="J12" i="8" s="1"/>
  <c r="H12" i="8"/>
  <c r="J11" i="8"/>
  <c r="I11" i="8"/>
  <c r="L11" i="8" s="1"/>
  <c r="C12" i="8"/>
  <c r="K11" i="10" l="1"/>
  <c r="L11" i="10" s="1"/>
  <c r="J11" i="10"/>
  <c r="M11" i="10" s="1"/>
  <c r="D11" i="10"/>
  <c r="F12" i="10" s="1"/>
  <c r="G12" i="10" s="1"/>
  <c r="E15" i="10"/>
  <c r="C12" i="10"/>
  <c r="K14" i="7"/>
  <c r="D6" i="17" s="1"/>
  <c r="H15" i="7"/>
  <c r="G14" i="7"/>
  <c r="G15" i="7" s="1"/>
  <c r="D17" i="7"/>
  <c r="D18" i="7"/>
  <c r="D15" i="7"/>
  <c r="D16" i="7"/>
  <c r="I12" i="8"/>
  <c r="L12" i="8" s="1"/>
  <c r="E6" i="17"/>
  <c r="D12" i="8"/>
  <c r="C13" i="8" s="1"/>
  <c r="K12" i="8"/>
  <c r="K11" i="8"/>
  <c r="E16" i="10" l="1"/>
  <c r="D12" i="10"/>
  <c r="C13" i="10" s="1"/>
  <c r="H12" i="10"/>
  <c r="I12" i="10"/>
  <c r="E13" i="8"/>
  <c r="F13" i="8" s="1"/>
  <c r="G13" i="8" s="1"/>
  <c r="D13" i="8"/>
  <c r="E14" i="8" s="1"/>
  <c r="F14" i="8" s="1"/>
  <c r="F13" i="10" l="1"/>
  <c r="G13" i="10" s="1"/>
  <c r="I13" i="10" s="1"/>
  <c r="H13" i="8"/>
  <c r="E17" i="10"/>
  <c r="D13" i="10"/>
  <c r="F14" i="10" s="1"/>
  <c r="G14" i="10" s="1"/>
  <c r="H14" i="10" s="1"/>
  <c r="K14" i="10" s="1"/>
  <c r="K12" i="10"/>
  <c r="J12" i="10"/>
  <c r="M12" i="10" s="1"/>
  <c r="C14" i="8"/>
  <c r="D14" i="8" s="1"/>
  <c r="E16" i="8" s="1"/>
  <c r="G14" i="8"/>
  <c r="H14" i="8"/>
  <c r="J13" i="8"/>
  <c r="I13" i="8"/>
  <c r="L13" i="8" s="1"/>
  <c r="C14" i="10" l="1"/>
  <c r="H13" i="10"/>
  <c r="K13" i="10" s="1"/>
  <c r="L13" i="10" s="1"/>
  <c r="L14" i="10"/>
  <c r="C8" i="17" s="1"/>
  <c r="I14" i="10"/>
  <c r="L12" i="10"/>
  <c r="E18" i="10"/>
  <c r="D14" i="10"/>
  <c r="F15" i="10" s="1"/>
  <c r="E17" i="8"/>
  <c r="E18" i="8"/>
  <c r="K13" i="8"/>
  <c r="J14" i="8"/>
  <c r="K14" i="8" s="1"/>
  <c r="C7" i="17" s="1"/>
  <c r="I14" i="8"/>
  <c r="E15" i="8"/>
  <c r="J13" i="10" l="1"/>
  <c r="M13" i="10" s="1"/>
  <c r="J14" i="10"/>
  <c r="F16" i="10"/>
  <c r="F17" i="10"/>
  <c r="M14" i="10"/>
  <c r="B8" i="17"/>
  <c r="F18" i="10"/>
  <c r="B7" i="17"/>
  <c r="L14" i="8"/>
  <c r="D8" i="17" l="1"/>
  <c r="E8" i="17"/>
  <c r="E7" i="17"/>
  <c r="D7" i="17"/>
</calcChain>
</file>

<file path=xl/sharedStrings.xml><?xml version="1.0" encoding="utf-8"?>
<sst xmlns="http://schemas.openxmlformats.org/spreadsheetml/2006/main" count="84" uniqueCount="61">
  <si>
    <r>
      <t xml:space="preserve">Period </t>
    </r>
    <r>
      <rPr>
        <i/>
        <sz val="10"/>
        <rFont val="Arial"/>
        <family val="2"/>
      </rPr>
      <t>t</t>
    </r>
  </si>
  <si>
    <t>% Error</t>
  </si>
  <si>
    <r>
      <t>Demand D</t>
    </r>
    <r>
      <rPr>
        <vertAlign val="subscript"/>
        <sz val="10"/>
        <rFont val="Arial"/>
        <family val="2"/>
      </rPr>
      <t>t</t>
    </r>
  </si>
  <si>
    <r>
      <t>Forecast F</t>
    </r>
    <r>
      <rPr>
        <vertAlign val="subscript"/>
        <sz val="10"/>
        <rFont val="Arial"/>
        <family val="2"/>
      </rPr>
      <t>t</t>
    </r>
  </si>
  <si>
    <r>
      <t>Error E</t>
    </r>
    <r>
      <rPr>
        <vertAlign val="subscript"/>
        <sz val="10"/>
        <rFont val="Arial"/>
        <family val="2"/>
      </rPr>
      <t>t</t>
    </r>
  </si>
  <si>
    <r>
      <t>Mean Squared Error MSE</t>
    </r>
    <r>
      <rPr>
        <vertAlign val="subscript"/>
        <sz val="10"/>
        <rFont val="Arial"/>
        <family val="2"/>
      </rPr>
      <t>t</t>
    </r>
  </si>
  <si>
    <r>
      <t>MAD</t>
    </r>
    <r>
      <rPr>
        <vertAlign val="subscript"/>
        <sz val="10"/>
        <rFont val="Arial"/>
        <family val="2"/>
      </rPr>
      <t>t</t>
    </r>
  </si>
  <si>
    <r>
      <t>MAPE</t>
    </r>
    <r>
      <rPr>
        <vertAlign val="subscript"/>
        <sz val="10"/>
        <rFont val="Arial"/>
        <family val="2"/>
      </rPr>
      <t>t</t>
    </r>
  </si>
  <si>
    <r>
      <t>TS</t>
    </r>
    <r>
      <rPr>
        <vertAlign val="subscript"/>
        <sz val="10"/>
        <rFont val="Arial"/>
        <family val="2"/>
      </rPr>
      <t>t</t>
    </r>
  </si>
  <si>
    <t>Year, Qtr</t>
  </si>
  <si>
    <r>
      <t xml:space="preserve">Demand
</t>
    </r>
    <r>
      <rPr>
        <i/>
        <sz val="10"/>
        <rFont val="Arial"/>
        <family val="2"/>
      </rPr>
      <t xml:space="preserve"> D</t>
    </r>
    <r>
      <rPr>
        <i/>
        <vertAlign val="subscript"/>
        <sz val="10"/>
        <rFont val="Arial"/>
        <family val="2"/>
      </rPr>
      <t>t</t>
    </r>
  </si>
  <si>
    <r>
      <t xml:space="preserve">Period
</t>
    </r>
    <r>
      <rPr>
        <i/>
        <sz val="10"/>
        <rFont val="Arial"/>
        <family val="2"/>
      </rPr>
      <t xml:space="preserve"> t</t>
    </r>
  </si>
  <si>
    <t>01,2</t>
  </si>
  <si>
    <t>01,3</t>
  </si>
  <si>
    <t>01,4</t>
  </si>
  <si>
    <t>02,1</t>
  </si>
  <si>
    <r>
      <t xml:space="preserve">Period
 </t>
    </r>
    <r>
      <rPr>
        <b/>
        <i/>
        <sz val="10"/>
        <rFont val="Arial"/>
        <family val="2"/>
      </rPr>
      <t>t</t>
    </r>
  </si>
  <si>
    <r>
      <t>Demand
 D</t>
    </r>
    <r>
      <rPr>
        <b/>
        <vertAlign val="subscript"/>
        <sz val="10"/>
        <rFont val="Arial"/>
        <family val="2"/>
      </rPr>
      <t>t</t>
    </r>
  </si>
  <si>
    <r>
      <t>Error
 E</t>
    </r>
    <r>
      <rPr>
        <b/>
        <vertAlign val="subscript"/>
        <sz val="10"/>
        <rFont val="Arial"/>
        <family val="2"/>
      </rPr>
      <t>t</t>
    </r>
  </si>
  <si>
    <r>
      <t>Mean Squared
Error
 MSE</t>
    </r>
    <r>
      <rPr>
        <b/>
        <vertAlign val="subscript"/>
        <sz val="10"/>
        <rFont val="Arial"/>
        <family val="2"/>
      </rPr>
      <t>t</t>
    </r>
  </si>
  <si>
    <r>
      <t>MAD</t>
    </r>
    <r>
      <rPr>
        <b/>
        <vertAlign val="subscript"/>
        <sz val="10"/>
        <rFont val="Arial"/>
        <family val="2"/>
      </rPr>
      <t>t</t>
    </r>
  </si>
  <si>
    <r>
      <t>MAPE</t>
    </r>
    <r>
      <rPr>
        <b/>
        <vertAlign val="subscript"/>
        <sz val="10"/>
        <rFont val="Arial"/>
        <family val="2"/>
      </rPr>
      <t>t</t>
    </r>
  </si>
  <si>
    <r>
      <t>TS</t>
    </r>
    <r>
      <rPr>
        <b/>
        <vertAlign val="subscript"/>
        <sz val="10"/>
        <rFont val="Arial"/>
        <family val="2"/>
      </rPr>
      <t>t</t>
    </r>
  </si>
  <si>
    <t>Forecasts Using Trend-Corrected Exponential Smoothing (Holt's Model)</t>
  </si>
  <si>
    <r>
      <t>Mean Squared
Error MSE</t>
    </r>
    <r>
      <rPr>
        <vertAlign val="subscript"/>
        <sz val="10"/>
        <rFont val="Arial"/>
        <family val="2"/>
      </rPr>
      <t>t</t>
    </r>
  </si>
  <si>
    <t>Forecasting Method</t>
  </si>
  <si>
    <t>MAD</t>
  </si>
  <si>
    <t>MAPE(%)</t>
  </si>
  <si>
    <t>TS Range</t>
  </si>
  <si>
    <t>Min</t>
  </si>
  <si>
    <t>Max</t>
  </si>
  <si>
    <t>Four-period moving average</t>
  </si>
  <si>
    <t>Simple exponential smoothing</t>
  </si>
  <si>
    <t>Holt's model</t>
  </si>
  <si>
    <t>Winter's model</t>
  </si>
  <si>
    <t>02,2</t>
  </si>
  <si>
    <t>02,3</t>
  </si>
  <si>
    <t>02,4</t>
  </si>
  <si>
    <t>03,1</t>
  </si>
  <si>
    <t>03,2</t>
  </si>
  <si>
    <t>03,3</t>
  </si>
  <si>
    <t>03,4</t>
  </si>
  <si>
    <t>04,1</t>
  </si>
  <si>
    <t>Tahoe Salt Forecasts Using Four-Period Moving Average</t>
  </si>
  <si>
    <t>Tahoe Salt Forecasts Using Simple Exponential Smoothing</t>
  </si>
  <si>
    <t>Forecast Errors for Tahoe Salt Forecasting</t>
  </si>
  <si>
    <t>α</t>
  </si>
  <si>
    <t>β</t>
  </si>
  <si>
    <t>γ</t>
  </si>
  <si>
    <t>Table Quarterly Demand for Tahoe Salt</t>
  </si>
  <si>
    <r>
      <t>Forecast
 F</t>
    </r>
    <r>
      <rPr>
        <b/>
        <vertAlign val="subscript"/>
        <sz val="10"/>
        <rFont val="Arial"/>
        <family val="2"/>
      </rPr>
      <t>t-1,t</t>
    </r>
  </si>
  <si>
    <r>
      <t>Absolute
Error
 |E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|</t>
    </r>
  </si>
  <si>
    <r>
      <t>Forecast  F</t>
    </r>
    <r>
      <rPr>
        <b/>
        <vertAlign val="subscript"/>
        <sz val="10"/>
        <rFont val="Arial"/>
        <family val="2"/>
      </rPr>
      <t>t-1,t</t>
    </r>
  </si>
  <si>
    <r>
      <t>Absolute Error  |E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|</t>
    </r>
  </si>
  <si>
    <r>
      <t>Trend G</t>
    </r>
    <r>
      <rPr>
        <vertAlign val="subscript"/>
        <sz val="10"/>
        <rFont val="Arial"/>
        <family val="2"/>
      </rPr>
      <t>t</t>
    </r>
  </si>
  <si>
    <r>
      <t>Forecast F</t>
    </r>
    <r>
      <rPr>
        <b/>
        <vertAlign val="subscript"/>
        <sz val="10"/>
        <rFont val="Arial"/>
        <family val="2"/>
      </rPr>
      <t>t-1,t</t>
    </r>
  </si>
  <si>
    <r>
      <t>Seasonal Factor c</t>
    </r>
    <r>
      <rPr>
        <vertAlign val="subscript"/>
        <sz val="10"/>
        <rFont val="Arial"/>
        <family val="2"/>
      </rPr>
      <t>t</t>
    </r>
  </si>
  <si>
    <r>
      <t>Absolute Error |E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|</t>
    </r>
  </si>
  <si>
    <t>Forecasts Using Trend and Seasonality Corrected Exponential Smoothing (Winter's Model)</t>
  </si>
  <si>
    <r>
      <t>Level
S</t>
    </r>
    <r>
      <rPr>
        <b/>
        <vertAlign val="subscript"/>
        <sz val="10"/>
        <rFont val="Arial"/>
        <family val="2"/>
      </rPr>
      <t>t</t>
    </r>
  </si>
  <si>
    <r>
      <t>Level S</t>
    </r>
    <r>
      <rPr>
        <vertAlign val="subscript"/>
        <sz val="10"/>
        <rFont val="Arial"/>
        <family val="2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</si>
</sst>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7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1" fontId="0" fillId="0" borderId="0" xfId="0" applyNumberFormat="1"/>
    <xf numFmtId="2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/>
    <xf numFmtId="0" fontId="6" fillId="0" borderId="0" xfId="0" applyFont="1"/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5" fillId="0" borderId="12" xfId="0" applyFont="1" applyBorder="1"/>
    <xf numFmtId="0" fontId="5" fillId="0" borderId="13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/>
    <xf numFmtId="0" fontId="9" fillId="0" borderId="0" xfId="0" applyFont="1"/>
    <xf numFmtId="0" fontId="0" fillId="0" borderId="6" xfId="0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/>
    <xf numFmtId="0" fontId="0" fillId="0" borderId="16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17" xfId="0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9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165" fontId="0" fillId="2" borderId="2" xfId="1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165" fontId="0" fillId="2" borderId="6" xfId="1" applyNumberFormat="1" applyFon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3" fontId="0" fillId="2" borderId="19" xfId="0" applyNumberFormat="1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165" fontId="0" fillId="2" borderId="20" xfId="1" applyNumberFormat="1" applyFont="1" applyFill="1" applyBorder="1" applyAlignment="1">
      <alignment horizontal="center"/>
    </xf>
    <xf numFmtId="4" fontId="0" fillId="2" borderId="21" xfId="0" applyNumberFormat="1" applyFill="1" applyBorder="1" applyAlignment="1">
      <alignment horizontal="center"/>
    </xf>
    <xf numFmtId="0" fontId="0" fillId="0" borderId="22" xfId="0" applyBorder="1"/>
    <xf numFmtId="0" fontId="0" fillId="0" borderId="20" xfId="0" applyFill="1" applyBorder="1" applyAlignment="1">
      <alignment horizontal="center"/>
    </xf>
    <xf numFmtId="0" fontId="0" fillId="0" borderId="20" xfId="0" applyBorder="1"/>
    <xf numFmtId="3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26" xfId="0" applyBorder="1"/>
    <xf numFmtId="4" fontId="0" fillId="2" borderId="2" xfId="0" applyNumberFormat="1" applyFill="1" applyBorder="1" applyAlignment="1">
      <alignment horizontal="center"/>
    </xf>
    <xf numFmtId="4" fontId="0" fillId="2" borderId="20" xfId="0" applyNumberForma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0" fillId="0" borderId="3" xfId="0" applyBorder="1"/>
    <xf numFmtId="0" fontId="0" fillId="0" borderId="5" xfId="0" applyBorder="1"/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" fontId="0" fillId="0" borderId="2" xfId="1" applyNumberFormat="1" applyFont="1" applyBorder="1" applyAlignment="1">
      <alignment horizontal="center"/>
    </xf>
    <xf numFmtId="1" fontId="0" fillId="0" borderId="6" xfId="1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8" xfId="0" applyBorder="1"/>
    <xf numFmtId="1" fontId="0" fillId="0" borderId="9" xfId="1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4" fontId="0" fillId="0" borderId="26" xfId="0" applyNumberFormat="1" applyBorder="1"/>
    <xf numFmtId="164" fontId="0" fillId="0" borderId="30" xfId="0" applyNumberFormat="1" applyBorder="1"/>
    <xf numFmtId="0" fontId="11" fillId="0" borderId="23" xfId="0" applyFont="1" applyBorder="1"/>
    <xf numFmtId="0" fontId="11" fillId="0" borderId="25" xfId="0" applyFont="1" applyBorder="1"/>
    <xf numFmtId="0" fontId="11" fillId="0" borderId="24" xfId="0" applyFont="1" applyBorder="1"/>
    <xf numFmtId="0" fontId="11" fillId="0" borderId="28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2" xfId="1" applyNumberFormat="1" applyFont="1" applyFill="1" applyBorder="1" applyAlignment="1">
      <alignment horizontal="center"/>
    </xf>
    <xf numFmtId="1" fontId="0" fillId="2" borderId="20" xfId="1" applyNumberFormat="1" applyFont="1" applyFill="1" applyBorder="1" applyAlignment="1">
      <alignment horizontal="center"/>
    </xf>
    <xf numFmtId="0" fontId="0" fillId="0" borderId="0" xfId="0" applyFill="1"/>
    <xf numFmtId="165" fontId="0" fillId="0" borderId="2" xfId="1" applyNumberFormat="1" applyFont="1" applyBorder="1"/>
    <xf numFmtId="167" fontId="0" fillId="2" borderId="2" xfId="1" applyNumberFormat="1" applyFont="1" applyFill="1" applyBorder="1" applyAlignment="1">
      <alignment horizontal="center"/>
    </xf>
    <xf numFmtId="167" fontId="0" fillId="2" borderId="20" xfId="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7.1 Quarterly Demand at Tahoe Salt</a:t>
            </a:r>
          </a:p>
        </c:rich>
      </c:tx>
      <c:layout>
        <c:manualLayout>
          <c:xMode val="edge"/>
          <c:yMode val="edge"/>
          <c:x val="0.23269252619114913"/>
          <c:y val="4.13533834586466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078494101651"/>
          <c:y val="0.17293233082706774"/>
          <c:w val="0.80576998738918604"/>
          <c:h val="0.56390977443609036"/>
        </c:manualLayout>
      </c:layout>
      <c:lineChart>
        <c:grouping val="standard"/>
        <c:varyColors val="0"/>
        <c:ser>
          <c:idx val="0"/>
          <c:order val="0"/>
          <c:tx>
            <c:strRef>
              <c:f>'Table 7.1'!$C$2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'Table 7.1'!$A$3:$A$14</c:f>
              <c:strCache>
                <c:ptCount val="12"/>
                <c:pt idx="0">
                  <c:v>01,2</c:v>
                </c:pt>
                <c:pt idx="1">
                  <c:v>01,3</c:v>
                </c:pt>
                <c:pt idx="2">
                  <c:v>01,4</c:v>
                </c:pt>
                <c:pt idx="3">
                  <c:v>02,1</c:v>
                </c:pt>
                <c:pt idx="4">
                  <c:v>02,2</c:v>
                </c:pt>
                <c:pt idx="5">
                  <c:v>02,3</c:v>
                </c:pt>
                <c:pt idx="6">
                  <c:v>02,4</c:v>
                </c:pt>
                <c:pt idx="7">
                  <c:v>03,1</c:v>
                </c:pt>
                <c:pt idx="8">
                  <c:v>03,2</c:v>
                </c:pt>
                <c:pt idx="9">
                  <c:v>03,3</c:v>
                </c:pt>
                <c:pt idx="10">
                  <c:v>03,4</c:v>
                </c:pt>
                <c:pt idx="11">
                  <c:v>04,1</c:v>
                </c:pt>
              </c:strCache>
            </c:strRef>
          </c:cat>
          <c:val>
            <c:numRef>
              <c:f>'Table 7.1'!$C$3:$C$14</c:f>
              <c:numCache>
                <c:formatCode>#,##0</c:formatCode>
                <c:ptCount val="12"/>
                <c:pt idx="0">
                  <c:v>8000</c:v>
                </c:pt>
                <c:pt idx="1">
                  <c:v>13000</c:v>
                </c:pt>
                <c:pt idx="2">
                  <c:v>23000</c:v>
                </c:pt>
                <c:pt idx="3">
                  <c:v>34000</c:v>
                </c:pt>
                <c:pt idx="4">
                  <c:v>10000</c:v>
                </c:pt>
                <c:pt idx="5">
                  <c:v>18000</c:v>
                </c:pt>
                <c:pt idx="6">
                  <c:v>23000</c:v>
                </c:pt>
                <c:pt idx="7">
                  <c:v>38000</c:v>
                </c:pt>
                <c:pt idx="8">
                  <c:v>12000</c:v>
                </c:pt>
                <c:pt idx="9">
                  <c:v>13000</c:v>
                </c:pt>
                <c:pt idx="10">
                  <c:v>32000</c:v>
                </c:pt>
                <c:pt idx="11">
                  <c:v>41000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5-4448-B28F-7F3DF4A1F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6734336"/>
      </c:lineChart>
      <c:catAx>
        <c:axId val="6181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Year, Quarter</a:t>
                </a:r>
              </a:p>
            </c:rich>
          </c:tx>
          <c:layout>
            <c:manualLayout>
              <c:xMode val="edge"/>
              <c:yMode val="edge"/>
              <c:x val="0.43653887144951131"/>
              <c:y val="0.872180451127819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3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</a:t>
                </a:r>
              </a:p>
            </c:rich>
          </c:tx>
          <c:layout>
            <c:manualLayout>
              <c:xMode val="edge"/>
              <c:yMode val="edge"/>
              <c:x val="4.2307732034754394E-2"/>
              <c:y val="0.36090225563909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11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43478260869568"/>
          <c:y val="0.12264150943396226"/>
          <c:w val="0.64229249011857725"/>
          <c:h val="0.665094339622641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7-7'!$B$1</c:f>
              <c:strCache>
                <c:ptCount val="1"/>
                <c:pt idx="0">
                  <c:v>Demand
 Dt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'Figure 7-7'!$A$2:$A$13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'Figure 7-7'!$B$2:$B$13</c:f>
              <c:numCache>
                <c:formatCode>#,##0</c:formatCode>
                <c:ptCount val="12"/>
                <c:pt idx="0">
                  <c:v>8000</c:v>
                </c:pt>
                <c:pt idx="1">
                  <c:v>13000</c:v>
                </c:pt>
                <c:pt idx="2">
                  <c:v>23000</c:v>
                </c:pt>
                <c:pt idx="3">
                  <c:v>34000</c:v>
                </c:pt>
                <c:pt idx="4">
                  <c:v>10000</c:v>
                </c:pt>
                <c:pt idx="5">
                  <c:v>18000</c:v>
                </c:pt>
                <c:pt idx="6">
                  <c:v>23000</c:v>
                </c:pt>
                <c:pt idx="7">
                  <c:v>38000</c:v>
                </c:pt>
                <c:pt idx="8">
                  <c:v>12000</c:v>
                </c:pt>
                <c:pt idx="9">
                  <c:v>13000</c:v>
                </c:pt>
                <c:pt idx="10">
                  <c:v>32000</c:v>
                </c:pt>
                <c:pt idx="11">
                  <c:v>41000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14-461F-9814-0B16D36638A1}"/>
            </c:ext>
          </c:extLst>
        </c:ser>
        <c:ser>
          <c:idx val="1"/>
          <c:order val="1"/>
          <c:tx>
            <c:strRef>
              <c:f>'Figure 7-7'!$D$1</c:f>
              <c:strCache>
                <c:ptCount val="1"/>
                <c:pt idx="0">
                  <c:v>Forecast
 Ft-1,t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'Figure 7-7'!$A$2:$A$13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'Figure 7-7'!$D$2:$D$13</c:f>
              <c:numCache>
                <c:formatCode>#,##0</c:formatCode>
                <c:ptCount val="12"/>
                <c:pt idx="4">
                  <c:v>19500</c:v>
                </c:pt>
                <c:pt idx="5">
                  <c:v>20000</c:v>
                </c:pt>
                <c:pt idx="6">
                  <c:v>21250</c:v>
                </c:pt>
                <c:pt idx="7">
                  <c:v>21250</c:v>
                </c:pt>
                <c:pt idx="8">
                  <c:v>22250</c:v>
                </c:pt>
                <c:pt idx="9">
                  <c:v>22750</c:v>
                </c:pt>
                <c:pt idx="10">
                  <c:v>21500</c:v>
                </c:pt>
                <c:pt idx="11">
                  <c:v>23750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14-461F-9814-0B16D3663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23168"/>
        <c:axId val="85624704"/>
      </c:scatterChart>
      <c:valAx>
        <c:axId val="856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4704"/>
        <c:crosses val="autoZero"/>
        <c:crossBetween val="midCat"/>
      </c:valAx>
      <c:valAx>
        <c:axId val="85624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31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25296442687744"/>
          <c:y val="0.27830188679245288"/>
          <c:w val="0.17193675889328067"/>
          <c:h val="0.35377358490566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36506314912367"/>
          <c:y val="0.12206628734910208"/>
          <c:w val="0.63941430697701074"/>
          <c:h val="0.66666972321432671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7-8'!$A$3:$A$14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'Figure 7-8'!$B$3:$B$14</c:f>
              <c:numCache>
                <c:formatCode>#,##0</c:formatCode>
                <c:ptCount val="12"/>
                <c:pt idx="0">
                  <c:v>8000</c:v>
                </c:pt>
                <c:pt idx="1">
                  <c:v>13000</c:v>
                </c:pt>
                <c:pt idx="2">
                  <c:v>23000</c:v>
                </c:pt>
                <c:pt idx="3">
                  <c:v>34000</c:v>
                </c:pt>
                <c:pt idx="4">
                  <c:v>10000</c:v>
                </c:pt>
                <c:pt idx="5">
                  <c:v>18000</c:v>
                </c:pt>
                <c:pt idx="6">
                  <c:v>23000</c:v>
                </c:pt>
                <c:pt idx="7">
                  <c:v>38000</c:v>
                </c:pt>
                <c:pt idx="8">
                  <c:v>12000</c:v>
                </c:pt>
                <c:pt idx="9">
                  <c:v>13000</c:v>
                </c:pt>
                <c:pt idx="10">
                  <c:v>32000</c:v>
                </c:pt>
                <c:pt idx="11">
                  <c:v>41000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8-4F71-B667-21D50C3F253D}"/>
            </c:ext>
          </c:extLst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'Figure 7-8'!$A$3:$A$14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'Figure 7-8'!$D$3:$D$14</c:f>
              <c:numCache>
                <c:formatCode>#,##0</c:formatCode>
                <c:ptCount val="12"/>
                <c:pt idx="0">
                  <c:v>22083.333333333332</c:v>
                </c:pt>
                <c:pt idx="1">
                  <c:v>20675</c:v>
                </c:pt>
                <c:pt idx="2">
                  <c:v>19907.5</c:v>
                </c:pt>
                <c:pt idx="3">
                  <c:v>20216.75</c:v>
                </c:pt>
                <c:pt idx="4">
                  <c:v>21595.075000000001</c:v>
                </c:pt>
                <c:pt idx="5">
                  <c:v>20435.567500000001</c:v>
                </c:pt>
                <c:pt idx="6">
                  <c:v>20192.010750000001</c:v>
                </c:pt>
                <c:pt idx="7">
                  <c:v>20472.809675</c:v>
                </c:pt>
                <c:pt idx="8">
                  <c:v>22225.528707500001</c:v>
                </c:pt>
                <c:pt idx="9">
                  <c:v>21202.975836750004</c:v>
                </c:pt>
                <c:pt idx="10">
                  <c:v>20382.678253075002</c:v>
                </c:pt>
                <c:pt idx="11">
                  <c:v>21544.410427767503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8-4F71-B667-21D50C3F2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27456"/>
        <c:axId val="59028992"/>
      </c:lineChart>
      <c:catAx>
        <c:axId val="590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2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027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84021398432181"/>
          <c:y val="0.35680914763583682"/>
          <c:w val="0.18239031051475391"/>
          <c:h val="0.2018788598465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&amp;C&amp;A</c:oddHeader>
    </c:headerFooter>
    <c:pageMargins b="1" l="0.75000000000000011" r="0.75000000000000011" t="1" header="0.5" footer="0.5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2028559675624"/>
          <c:y val="0.12206628734910208"/>
          <c:w val="0.61488030685891659"/>
          <c:h val="0.66666972321432671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'Figure 7-9'!$B$3:$B$14</c:f>
              <c:numCache>
                <c:formatCode>#,##0</c:formatCode>
                <c:ptCount val="12"/>
                <c:pt idx="0">
                  <c:v>8000</c:v>
                </c:pt>
                <c:pt idx="1">
                  <c:v>13000</c:v>
                </c:pt>
                <c:pt idx="2">
                  <c:v>23000</c:v>
                </c:pt>
                <c:pt idx="3">
                  <c:v>34000</c:v>
                </c:pt>
                <c:pt idx="4">
                  <c:v>10000</c:v>
                </c:pt>
                <c:pt idx="5">
                  <c:v>18000</c:v>
                </c:pt>
                <c:pt idx="6">
                  <c:v>23000</c:v>
                </c:pt>
                <c:pt idx="7">
                  <c:v>38000</c:v>
                </c:pt>
                <c:pt idx="8">
                  <c:v>12000</c:v>
                </c:pt>
                <c:pt idx="9">
                  <c:v>13000</c:v>
                </c:pt>
                <c:pt idx="10">
                  <c:v>32000</c:v>
                </c:pt>
                <c:pt idx="11">
                  <c:v>41000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CE-408A-9588-1525D7A4F5C4}"/>
            </c:ext>
          </c:extLst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'Figure 7-9'!$E$3:$E$14</c:f>
              <c:numCache>
                <c:formatCode>#,##0</c:formatCode>
                <c:ptCount val="12"/>
                <c:pt idx="0">
                  <c:v>13564</c:v>
                </c:pt>
                <c:pt idx="1">
                  <c:v>14445.32</c:v>
                </c:pt>
                <c:pt idx="2">
                  <c:v>15709.6016</c:v>
                </c:pt>
                <c:pt idx="3">
                  <c:v>17993.263007999998</c:v>
                </c:pt>
                <c:pt idx="4">
                  <c:v>21468.69301504</c:v>
                </c:pt>
                <c:pt idx="5">
                  <c:v>21967.206161075199</c:v>
                </c:pt>
                <c:pt idx="6">
                  <c:v>23136.523869285375</c:v>
                </c:pt>
                <c:pt idx="7">
                  <c:v>24686.179329288825</c:v>
                </c:pt>
                <c:pt idx="8">
                  <c:v>27847.145656706154</c:v>
                </c:pt>
                <c:pt idx="9">
                  <c:v>27775.072438247626</c:v>
                </c:pt>
                <c:pt idx="10">
                  <c:v>27514.705092869997</c:v>
                </c:pt>
                <c:pt idx="11">
                  <c:v>29270.080380172734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E-408A-9588-1525D7A4F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03872"/>
        <c:axId val="59244928"/>
      </c:lineChart>
      <c:catAx>
        <c:axId val="591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2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24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03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337064005513202"/>
          <c:y val="0.35680914763583682"/>
          <c:w val="0.19912493923189109"/>
          <c:h val="0.2018788598465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7358490566038"/>
          <c:y val="0.11250045776553452"/>
          <c:w val="0.6471698113207548"/>
          <c:h val="0.68333611383509851"/>
        </c:manualLayout>
      </c:layout>
      <c:lineChart>
        <c:grouping val="standard"/>
        <c:varyColors val="0"/>
        <c:ser>
          <c:idx val="0"/>
          <c:order val="0"/>
          <c:tx>
            <c:v>Demand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'Figure 7-10'!$B$3:$B$14</c:f>
              <c:numCache>
                <c:formatCode>#,##0</c:formatCode>
                <c:ptCount val="12"/>
                <c:pt idx="0">
                  <c:v>8000</c:v>
                </c:pt>
                <c:pt idx="1">
                  <c:v>13000</c:v>
                </c:pt>
                <c:pt idx="2">
                  <c:v>23000</c:v>
                </c:pt>
                <c:pt idx="3">
                  <c:v>34000</c:v>
                </c:pt>
                <c:pt idx="4">
                  <c:v>10000</c:v>
                </c:pt>
                <c:pt idx="5">
                  <c:v>18000</c:v>
                </c:pt>
                <c:pt idx="6">
                  <c:v>23000</c:v>
                </c:pt>
                <c:pt idx="7">
                  <c:v>38000</c:v>
                </c:pt>
                <c:pt idx="8">
                  <c:v>12000</c:v>
                </c:pt>
                <c:pt idx="9">
                  <c:v>13000</c:v>
                </c:pt>
                <c:pt idx="10">
                  <c:v>32000</c:v>
                </c:pt>
                <c:pt idx="11">
                  <c:v>41000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B-4F23-A6E1-6B612A289264}"/>
            </c:ext>
          </c:extLst>
        </c:ser>
        <c:ser>
          <c:idx val="1"/>
          <c:order val="1"/>
          <c:tx>
            <c:v>Forecast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'Figure 7-10'!$F$3:$F$18</c:f>
              <c:numCache>
                <c:formatCode>#,##0</c:formatCode>
                <c:ptCount val="16"/>
                <c:pt idx="0">
                  <c:v>8912.6099999999988</c:v>
                </c:pt>
                <c:pt idx="1">
                  <c:v>13178.539544680852</c:v>
                </c:pt>
                <c:pt idx="2">
                  <c:v>23259.665399815083</c:v>
                </c:pt>
                <c:pt idx="3">
                  <c:v>34035.982753876378</c:v>
                </c:pt>
                <c:pt idx="4">
                  <c:v>9723.00402054201</c:v>
                </c:pt>
                <c:pt idx="5">
                  <c:v>14557.711929112967</c:v>
                </c:pt>
                <c:pt idx="6">
                  <c:v>25980.944066311135</c:v>
                </c:pt>
                <c:pt idx="7">
                  <c:v>37787.178515891763</c:v>
                </c:pt>
                <c:pt idx="8">
                  <c:v>10809.608834917286</c:v>
                </c:pt>
                <c:pt idx="9">
                  <c:v>16544.158590271429</c:v>
                </c:pt>
                <c:pt idx="10">
                  <c:v>27848.868389989319</c:v>
                </c:pt>
                <c:pt idx="11">
                  <c:v>41441.600328893306</c:v>
                </c:pt>
                <c:pt idx="12">
                  <c:v>11940.319821319024</c:v>
                </c:pt>
                <c:pt idx="13">
                  <c:v>17579.341982710503</c:v>
                </c:pt>
                <c:pt idx="14">
                  <c:v>30930.455104254335</c:v>
                </c:pt>
                <c:pt idx="15">
                  <c:v>44928.113994395775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1B-4F23-A6E1-6B612A289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31488"/>
        <c:axId val="66833024"/>
      </c:lineChart>
      <c:catAx>
        <c:axId val="668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3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1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66037735849072"/>
          <c:y val="0.35833479140133218"/>
          <c:w val="0.17924528301886794"/>
          <c:h val="0.195834130184449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8</xdr:col>
      <xdr:colOff>47625</xdr:colOff>
      <xdr:row>29</xdr:row>
      <xdr:rowOff>123825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19050</xdr:rowOff>
    </xdr:from>
    <xdr:to>
      <xdr:col>7</xdr:col>
      <xdr:colOff>285750</xdr:colOff>
      <xdr:row>30</xdr:row>
      <xdr:rowOff>95250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6</xdr:col>
      <xdr:colOff>447675</xdr:colOff>
      <xdr:row>32</xdr:row>
      <xdr:rowOff>114300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6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28575</xdr:rowOff>
    </xdr:from>
    <xdr:to>
      <xdr:col>6</xdr:col>
      <xdr:colOff>933450</xdr:colOff>
      <xdr:row>33</xdr:row>
      <xdr:rowOff>114300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7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19</xdr:row>
      <xdr:rowOff>19050</xdr:rowOff>
    </xdr:from>
    <xdr:to>
      <xdr:col>8</xdr:col>
      <xdr:colOff>1114425</xdr:colOff>
      <xdr:row>33</xdr:row>
      <xdr:rowOff>28575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B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4"/>
  <sheetViews>
    <sheetView showGridLines="0" zoomScaleNormal="100" workbookViewId="0"/>
  </sheetViews>
  <sheetFormatPr defaultRowHeight="12.75" x14ac:dyDescent="0.2"/>
  <cols>
    <col min="3" max="3" width="9.85546875" customWidth="1"/>
  </cols>
  <sheetData>
    <row r="1" spans="1:3" ht="16.5" thickBot="1" x14ac:dyDescent="0.3">
      <c r="A1" s="14" t="s">
        <v>49</v>
      </c>
      <c r="B1" s="14"/>
    </row>
    <row r="2" spans="1:3" ht="29.25" thickBot="1" x14ac:dyDescent="0.35">
      <c r="A2" s="20" t="s">
        <v>9</v>
      </c>
      <c r="B2" s="21" t="s">
        <v>11</v>
      </c>
      <c r="C2" s="21" t="s">
        <v>10</v>
      </c>
    </row>
    <row r="3" spans="1:3" x14ac:dyDescent="0.2">
      <c r="A3" s="88" t="s">
        <v>12</v>
      </c>
      <c r="B3" s="12">
        <v>1</v>
      </c>
      <c r="C3" s="13">
        <v>8000</v>
      </c>
    </row>
    <row r="4" spans="1:3" x14ac:dyDescent="0.2">
      <c r="A4" s="89" t="s">
        <v>13</v>
      </c>
      <c r="B4" s="5">
        <v>2</v>
      </c>
      <c r="C4" s="7">
        <v>13000</v>
      </c>
    </row>
    <row r="5" spans="1:3" x14ac:dyDescent="0.2">
      <c r="A5" s="88" t="s">
        <v>14</v>
      </c>
      <c r="B5" s="5">
        <v>3</v>
      </c>
      <c r="C5" s="7">
        <v>23000</v>
      </c>
    </row>
    <row r="6" spans="1:3" x14ac:dyDescent="0.2">
      <c r="A6" s="6" t="s">
        <v>15</v>
      </c>
      <c r="B6" s="5">
        <v>4</v>
      </c>
      <c r="C6" s="7">
        <v>34000</v>
      </c>
    </row>
    <row r="7" spans="1:3" x14ac:dyDescent="0.2">
      <c r="A7" s="11" t="s">
        <v>35</v>
      </c>
      <c r="B7" s="5">
        <v>5</v>
      </c>
      <c r="C7" s="7">
        <v>10000</v>
      </c>
    </row>
    <row r="8" spans="1:3" x14ac:dyDescent="0.2">
      <c r="A8" s="6" t="s">
        <v>36</v>
      </c>
      <c r="B8" s="5">
        <v>6</v>
      </c>
      <c r="C8" s="7">
        <v>18000</v>
      </c>
    </row>
    <row r="9" spans="1:3" x14ac:dyDescent="0.2">
      <c r="A9" s="11" t="s">
        <v>37</v>
      </c>
      <c r="B9" s="5">
        <v>7</v>
      </c>
      <c r="C9" s="7">
        <v>23000</v>
      </c>
    </row>
    <row r="10" spans="1:3" x14ac:dyDescent="0.2">
      <c r="A10" s="89" t="s">
        <v>38</v>
      </c>
      <c r="B10" s="5">
        <v>8</v>
      </c>
      <c r="C10" s="7">
        <v>38000</v>
      </c>
    </row>
    <row r="11" spans="1:3" x14ac:dyDescent="0.2">
      <c r="A11" s="88" t="s">
        <v>39</v>
      </c>
      <c r="B11" s="5">
        <v>9</v>
      </c>
      <c r="C11" s="7">
        <v>12000</v>
      </c>
    </row>
    <row r="12" spans="1:3" x14ac:dyDescent="0.2">
      <c r="A12" s="89" t="s">
        <v>40</v>
      </c>
      <c r="B12" s="5">
        <v>10</v>
      </c>
      <c r="C12" s="7">
        <v>13000</v>
      </c>
    </row>
    <row r="13" spans="1:3" x14ac:dyDescent="0.2">
      <c r="A13" s="88" t="s">
        <v>41</v>
      </c>
      <c r="B13" s="5">
        <v>11</v>
      </c>
      <c r="C13" s="7">
        <v>32000</v>
      </c>
    </row>
    <row r="14" spans="1:3" ht="13.5" thickBot="1" x14ac:dyDescent="0.25">
      <c r="A14" s="90" t="s">
        <v>42</v>
      </c>
      <c r="B14" s="9">
        <v>12</v>
      </c>
      <c r="C14" s="10">
        <v>41000</v>
      </c>
    </row>
  </sheetData>
  <phoneticPr fontId="0" type="noConversion"/>
  <pageMargins left="0.75" right="0.75" top="1" bottom="1" header="0.5" footer="0.5"/>
  <pageSetup orientation="portrait" horizontalDpi="4294967292" r:id="rId1"/>
  <headerFooter alignWithMargins="0">
    <oddHeader>&amp;C&amp;A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38"/>
  <sheetViews>
    <sheetView showGridLines="0" zoomScaleNormal="100" workbookViewId="0">
      <selection activeCell="C2" sqref="C2"/>
    </sheetView>
  </sheetViews>
  <sheetFormatPr defaultRowHeight="12.75" x14ac:dyDescent="0.2"/>
  <cols>
    <col min="1" max="1" width="6.85546875" customWidth="1"/>
    <col min="2" max="2" width="8.28515625" customWidth="1"/>
    <col min="3" max="3" width="8" bestFit="1" customWidth="1"/>
    <col min="4" max="4" width="8.85546875" customWidth="1"/>
    <col min="5" max="5" width="8.7109375" bestFit="1" customWidth="1"/>
    <col min="6" max="6" width="13" bestFit="1" customWidth="1"/>
    <col min="7" max="7" width="14.28515625" customWidth="1"/>
    <col min="8" max="8" width="6.85546875" bestFit="1" customWidth="1"/>
    <col min="9" max="9" width="7.42578125" bestFit="1" customWidth="1"/>
    <col min="10" max="10" width="6.85546875" customWidth="1"/>
    <col min="11" max="11" width="6.28515625" bestFit="1" customWidth="1"/>
  </cols>
  <sheetData>
    <row r="1" spans="1:12" ht="42.75" customHeight="1" thickBot="1" x14ac:dyDescent="0.3">
      <c r="A1" s="46" t="s">
        <v>16</v>
      </c>
      <c r="B1" s="47" t="s">
        <v>17</v>
      </c>
      <c r="C1" s="48" t="s">
        <v>59</v>
      </c>
      <c r="D1" s="48" t="s">
        <v>50</v>
      </c>
      <c r="E1" s="48" t="s">
        <v>18</v>
      </c>
      <c r="F1" s="48" t="s">
        <v>51</v>
      </c>
      <c r="G1" s="48" t="s">
        <v>19</v>
      </c>
      <c r="H1" s="49" t="s">
        <v>20</v>
      </c>
      <c r="I1" s="49" t="s">
        <v>1</v>
      </c>
      <c r="J1" s="49" t="s">
        <v>21</v>
      </c>
      <c r="K1" s="50" t="s">
        <v>22</v>
      </c>
      <c r="L1" s="25"/>
    </row>
    <row r="2" spans="1:12" x14ac:dyDescent="0.2">
      <c r="A2" s="33">
        <v>1</v>
      </c>
      <c r="B2" s="34">
        <v>8000</v>
      </c>
      <c r="C2" s="35"/>
      <c r="D2" s="35"/>
      <c r="E2" s="35"/>
      <c r="F2" s="35"/>
      <c r="G2" s="35"/>
      <c r="H2" s="35"/>
      <c r="I2" s="35"/>
      <c r="J2" s="35"/>
      <c r="K2" s="36"/>
    </row>
    <row r="3" spans="1:12" x14ac:dyDescent="0.2">
      <c r="A3" s="30">
        <v>2</v>
      </c>
      <c r="B3" s="37">
        <v>13000</v>
      </c>
      <c r="C3" s="38"/>
      <c r="D3" s="38"/>
      <c r="E3" s="38"/>
      <c r="F3" s="38"/>
      <c r="G3" s="38"/>
      <c r="H3" s="38"/>
      <c r="I3" s="38"/>
      <c r="J3" s="38"/>
      <c r="K3" s="39"/>
    </row>
    <row r="4" spans="1:12" x14ac:dyDescent="0.2">
      <c r="A4" s="30">
        <v>3</v>
      </c>
      <c r="B4" s="37">
        <v>23000</v>
      </c>
      <c r="C4" s="38"/>
      <c r="D4" s="38"/>
      <c r="E4" s="38"/>
      <c r="F4" s="38"/>
      <c r="G4" s="38"/>
      <c r="H4" s="38"/>
      <c r="I4" s="38"/>
      <c r="J4" s="38"/>
      <c r="K4" s="39"/>
    </row>
    <row r="5" spans="1:12" x14ac:dyDescent="0.2">
      <c r="A5" s="30">
        <v>4</v>
      </c>
      <c r="B5" s="37">
        <v>34000</v>
      </c>
      <c r="C5" s="38">
        <f>AVERAGE(B2:B5)</f>
        <v>19500</v>
      </c>
      <c r="D5" s="38"/>
      <c r="E5" s="38"/>
      <c r="F5" s="38"/>
      <c r="G5" s="38"/>
      <c r="H5" s="38"/>
      <c r="I5" s="38"/>
      <c r="J5" s="38"/>
      <c r="K5" s="39"/>
    </row>
    <row r="6" spans="1:12" x14ac:dyDescent="0.2">
      <c r="A6" s="30">
        <v>5</v>
      </c>
      <c r="B6" s="37">
        <v>10000</v>
      </c>
      <c r="C6" s="38">
        <f>AVERAGE(B3:B6)</f>
        <v>20000</v>
      </c>
      <c r="D6" s="38">
        <f>C5</f>
        <v>19500</v>
      </c>
      <c r="E6" s="38">
        <f>D6-B6</f>
        <v>9500</v>
      </c>
      <c r="F6" s="38">
        <f>ABS(E6)</f>
        <v>9500</v>
      </c>
      <c r="G6" s="38">
        <f>SUMSQ($E$6:E6)/(A6-4)</f>
        <v>90250000</v>
      </c>
      <c r="H6" s="38">
        <f>SUM($F$6:F6)/(A6-4)</f>
        <v>9500</v>
      </c>
      <c r="I6" s="40">
        <f>100*F6/B6</f>
        <v>95</v>
      </c>
      <c r="J6" s="38">
        <f>AVERAGE($I$6:I6)</f>
        <v>95</v>
      </c>
      <c r="K6" s="41">
        <f>SUM($E$6:E6)/H6</f>
        <v>1</v>
      </c>
    </row>
    <row r="7" spans="1:12" x14ac:dyDescent="0.2">
      <c r="A7" s="30">
        <v>6</v>
      </c>
      <c r="B7" s="37">
        <v>18000</v>
      </c>
      <c r="C7" s="38">
        <f t="shared" ref="C7:C13" si="0">AVERAGE(B4:B7)</f>
        <v>21250</v>
      </c>
      <c r="D7" s="38">
        <f t="shared" ref="D7:D13" si="1">C6</f>
        <v>20000</v>
      </c>
      <c r="E7" s="38">
        <f t="shared" ref="E7:E13" si="2">D7-B7</f>
        <v>2000</v>
      </c>
      <c r="F7" s="38">
        <f t="shared" ref="F7:F13" si="3">ABS(E7)</f>
        <v>2000</v>
      </c>
      <c r="G7" s="38">
        <f>SUMSQ($E$6:E7)/(A7-4)</f>
        <v>47125000</v>
      </c>
      <c r="H7" s="38">
        <f>SUM($F$6:F7)/(A7-4)</f>
        <v>5750</v>
      </c>
      <c r="I7" s="40">
        <f t="shared" ref="I7:I13" si="4">100*F7/B7</f>
        <v>11.111111111111111</v>
      </c>
      <c r="J7" s="38">
        <f>AVERAGE($I$6:I7)</f>
        <v>53.055555555555557</v>
      </c>
      <c r="K7" s="41">
        <f>SUM($E$6:E7)/H7</f>
        <v>2</v>
      </c>
    </row>
    <row r="8" spans="1:12" x14ac:dyDescent="0.2">
      <c r="A8" s="30">
        <v>7</v>
      </c>
      <c r="B8" s="37">
        <v>23000</v>
      </c>
      <c r="C8" s="38">
        <f t="shared" si="0"/>
        <v>21250</v>
      </c>
      <c r="D8" s="38">
        <f t="shared" si="1"/>
        <v>21250</v>
      </c>
      <c r="E8" s="38">
        <f t="shared" si="2"/>
        <v>-1750</v>
      </c>
      <c r="F8" s="38">
        <f t="shared" si="3"/>
        <v>1750</v>
      </c>
      <c r="G8" s="38">
        <f>SUMSQ($E$6:E8)/(A8-4)</f>
        <v>32437500</v>
      </c>
      <c r="H8" s="38">
        <f>SUM($F$6:F8)/(A8-4)</f>
        <v>4416.666666666667</v>
      </c>
      <c r="I8" s="40">
        <f t="shared" si="4"/>
        <v>7.6086956521739131</v>
      </c>
      <c r="J8" s="38">
        <f>AVERAGE($I$6:I8)</f>
        <v>37.906602254428343</v>
      </c>
      <c r="K8" s="41">
        <f>SUM($E$6:E8)/H8</f>
        <v>2.2075471698113205</v>
      </c>
    </row>
    <row r="9" spans="1:12" x14ac:dyDescent="0.2">
      <c r="A9" s="30">
        <v>8</v>
      </c>
      <c r="B9" s="37">
        <v>38000</v>
      </c>
      <c r="C9" s="38">
        <f t="shared" si="0"/>
        <v>22250</v>
      </c>
      <c r="D9" s="38">
        <f t="shared" si="1"/>
        <v>21250</v>
      </c>
      <c r="E9" s="38">
        <f t="shared" si="2"/>
        <v>-16750</v>
      </c>
      <c r="F9" s="38">
        <f t="shared" si="3"/>
        <v>16750</v>
      </c>
      <c r="G9" s="38">
        <f>SUMSQ($E$6:E9)/(A9-4)</f>
        <v>94468750</v>
      </c>
      <c r="H9" s="38">
        <f>SUM($F$6:F9)/(A9-4)</f>
        <v>7500</v>
      </c>
      <c r="I9" s="40">
        <f t="shared" si="4"/>
        <v>44.078947368421055</v>
      </c>
      <c r="J9" s="38">
        <f>AVERAGE($I$6:I9)</f>
        <v>39.449688532926515</v>
      </c>
      <c r="K9" s="41">
        <f>SUM($E$6:E9)/H9</f>
        <v>-0.93333333333333335</v>
      </c>
    </row>
    <row r="10" spans="1:12" x14ac:dyDescent="0.2">
      <c r="A10" s="30">
        <v>9</v>
      </c>
      <c r="B10" s="37">
        <v>12000</v>
      </c>
      <c r="C10" s="38">
        <f t="shared" si="0"/>
        <v>22750</v>
      </c>
      <c r="D10" s="38">
        <f t="shared" si="1"/>
        <v>22250</v>
      </c>
      <c r="E10" s="38">
        <f t="shared" si="2"/>
        <v>10250</v>
      </c>
      <c r="F10" s="38">
        <f t="shared" si="3"/>
        <v>10250</v>
      </c>
      <c r="G10" s="38">
        <f>SUMSQ($E$6:E10)/(A10-4)</f>
        <v>96587500</v>
      </c>
      <c r="H10" s="38">
        <f>SUM($F$6:F10)/(A10-4)</f>
        <v>8050</v>
      </c>
      <c r="I10" s="40">
        <f t="shared" si="4"/>
        <v>85.416666666666671</v>
      </c>
      <c r="J10" s="38">
        <f>AVERAGE($I$6:I10)</f>
        <v>48.643084159674551</v>
      </c>
      <c r="K10" s="41">
        <f>SUM($E$6:E10)/H10</f>
        <v>0.40372670807453415</v>
      </c>
    </row>
    <row r="11" spans="1:12" x14ac:dyDescent="0.2">
      <c r="A11" s="30">
        <v>10</v>
      </c>
      <c r="B11" s="37">
        <v>13000</v>
      </c>
      <c r="C11" s="38">
        <f t="shared" si="0"/>
        <v>21500</v>
      </c>
      <c r="D11" s="38">
        <f t="shared" si="1"/>
        <v>22750</v>
      </c>
      <c r="E11" s="38">
        <f t="shared" si="2"/>
        <v>9750</v>
      </c>
      <c r="F11" s="38">
        <f t="shared" si="3"/>
        <v>9750</v>
      </c>
      <c r="G11" s="38">
        <f>SUMSQ($E$6:E11)/(A11-4)</f>
        <v>96333333.333333328</v>
      </c>
      <c r="H11" s="38">
        <f>SUM($F$6:F11)/(A11-4)</f>
        <v>8333.3333333333339</v>
      </c>
      <c r="I11" s="40">
        <f t="shared" si="4"/>
        <v>75</v>
      </c>
      <c r="J11" s="38">
        <f>AVERAGE($I$6:I11)</f>
        <v>53.03590346639546</v>
      </c>
      <c r="K11" s="41">
        <f>SUM($E$6:E11)/H11</f>
        <v>1.5599999999999998</v>
      </c>
    </row>
    <row r="12" spans="1:12" x14ac:dyDescent="0.2">
      <c r="A12" s="30">
        <v>11</v>
      </c>
      <c r="B12" s="37">
        <v>32000</v>
      </c>
      <c r="C12" s="38">
        <f t="shared" si="0"/>
        <v>23750</v>
      </c>
      <c r="D12" s="38">
        <f t="shared" si="1"/>
        <v>21500</v>
      </c>
      <c r="E12" s="38">
        <f t="shared" si="2"/>
        <v>-10500</v>
      </c>
      <c r="F12" s="38">
        <f t="shared" si="3"/>
        <v>10500</v>
      </c>
      <c r="G12" s="38">
        <f>SUMSQ($E$6:E12)/(A12-4)</f>
        <v>98321428.571428567</v>
      </c>
      <c r="H12" s="38">
        <f>SUM($F$6:F12)/(A12-4)</f>
        <v>8642.8571428571431</v>
      </c>
      <c r="I12" s="40">
        <f t="shared" si="4"/>
        <v>32.8125</v>
      </c>
      <c r="J12" s="38">
        <f>AVERAGE($I$6:I12)</f>
        <v>50.146845828338961</v>
      </c>
      <c r="K12" s="41">
        <f>SUM($E$6:E12)/H12</f>
        <v>0.28925619834710742</v>
      </c>
    </row>
    <row r="13" spans="1:12" ht="13.5" thickBot="1" x14ac:dyDescent="0.25">
      <c r="A13" s="30">
        <v>12</v>
      </c>
      <c r="B13" s="42">
        <v>41000</v>
      </c>
      <c r="C13" s="43">
        <f t="shared" si="0"/>
        <v>24500</v>
      </c>
      <c r="D13" s="43">
        <f t="shared" si="1"/>
        <v>23750</v>
      </c>
      <c r="E13" s="43">
        <f t="shared" si="2"/>
        <v>-17250</v>
      </c>
      <c r="F13" s="43">
        <f t="shared" si="3"/>
        <v>17250</v>
      </c>
      <c r="G13" s="38">
        <f>SUMSQ($E$6:E13)/(A13-4)</f>
        <v>123226562.5</v>
      </c>
      <c r="H13" s="43">
        <f>SUM($F$6:F13)/(A13-4)</f>
        <v>9718.75</v>
      </c>
      <c r="I13" s="44">
        <f t="shared" si="4"/>
        <v>42.073170731707314</v>
      </c>
      <c r="J13" s="43">
        <f>AVERAGE($I$6:I13)</f>
        <v>49.137636441260007</v>
      </c>
      <c r="K13" s="45">
        <f>SUM($E$6:E13)/H13</f>
        <v>-1.517684887459807</v>
      </c>
    </row>
    <row r="14" spans="1:12" x14ac:dyDescent="0.2">
      <c r="A14" s="5">
        <v>13</v>
      </c>
      <c r="B14" s="19"/>
      <c r="C14" s="19"/>
      <c r="D14" s="17">
        <f>C13</f>
        <v>24500</v>
      </c>
      <c r="E14" s="19"/>
      <c r="F14" s="19"/>
      <c r="G14" s="19"/>
      <c r="H14" s="19"/>
      <c r="I14" s="19"/>
      <c r="J14" s="19"/>
      <c r="K14" s="31"/>
    </row>
    <row r="15" spans="1:12" x14ac:dyDescent="0.2">
      <c r="A15" s="27">
        <v>14</v>
      </c>
      <c r="B15" s="18"/>
      <c r="C15" s="18"/>
      <c r="D15" s="15">
        <f>$C$13</f>
        <v>24500</v>
      </c>
      <c r="E15" s="18"/>
      <c r="F15" s="18"/>
      <c r="G15" s="18"/>
      <c r="H15" s="18"/>
      <c r="I15" s="18"/>
      <c r="J15" s="18"/>
      <c r="K15" s="24"/>
    </row>
    <row r="16" spans="1:12" x14ac:dyDescent="0.2">
      <c r="A16" s="27">
        <v>15</v>
      </c>
      <c r="B16" s="18"/>
      <c r="C16" s="18"/>
      <c r="D16" s="15">
        <f>$C$13</f>
        <v>24500</v>
      </c>
      <c r="E16" s="18"/>
      <c r="F16" s="18"/>
      <c r="G16" s="18"/>
      <c r="H16" s="18"/>
      <c r="I16" s="18"/>
      <c r="J16" s="18"/>
      <c r="K16" s="24"/>
    </row>
    <row r="17" spans="1:11" ht="13.5" thickBot="1" x14ac:dyDescent="0.25">
      <c r="A17" s="28">
        <v>16</v>
      </c>
      <c r="B17" s="26"/>
      <c r="C17" s="26"/>
      <c r="D17" s="16">
        <f>$C$13</f>
        <v>24500</v>
      </c>
      <c r="E17" s="26"/>
      <c r="F17" s="26"/>
      <c r="G17" s="26"/>
      <c r="H17" s="26"/>
      <c r="I17" s="26"/>
      <c r="J17" s="26"/>
      <c r="K17" s="32"/>
    </row>
    <row r="19" spans="1:11" x14ac:dyDescent="0.2">
      <c r="C19" s="1"/>
      <c r="D19" s="2"/>
    </row>
    <row r="20" spans="1:11" x14ac:dyDescent="0.2">
      <c r="C20" s="1"/>
      <c r="D20" s="2"/>
    </row>
    <row r="21" spans="1:11" x14ac:dyDescent="0.2">
      <c r="C21" s="1"/>
      <c r="D21" s="2"/>
    </row>
    <row r="22" spans="1:11" x14ac:dyDescent="0.2">
      <c r="C22" s="1"/>
      <c r="D22" s="2"/>
    </row>
    <row r="23" spans="1:11" x14ac:dyDescent="0.2">
      <c r="C23" s="1"/>
      <c r="D23" s="2"/>
    </row>
    <row r="24" spans="1:11" x14ac:dyDescent="0.2">
      <c r="C24" s="1"/>
      <c r="D24" s="2"/>
    </row>
    <row r="25" spans="1:11" x14ac:dyDescent="0.2">
      <c r="C25" s="1"/>
      <c r="D25" s="2"/>
    </row>
    <row r="26" spans="1:11" x14ac:dyDescent="0.2">
      <c r="C26" s="1"/>
      <c r="D26" s="2"/>
    </row>
    <row r="27" spans="1:11" x14ac:dyDescent="0.2">
      <c r="C27" s="1"/>
      <c r="D27" s="2"/>
    </row>
    <row r="28" spans="1:11" x14ac:dyDescent="0.2">
      <c r="C28" s="1"/>
      <c r="D28" s="2"/>
    </row>
    <row r="29" spans="1:11" x14ac:dyDescent="0.2">
      <c r="C29" s="1"/>
      <c r="D29" s="2"/>
    </row>
    <row r="30" spans="1:11" x14ac:dyDescent="0.2">
      <c r="C30" s="1"/>
      <c r="D30" s="2"/>
    </row>
    <row r="31" spans="1:11" x14ac:dyDescent="0.2">
      <c r="B31" s="1"/>
      <c r="C31" s="1"/>
    </row>
    <row r="32" spans="1:11" ht="15.75" x14ac:dyDescent="0.25">
      <c r="A32" s="29" t="s">
        <v>43</v>
      </c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</sheetData>
  <phoneticPr fontId="0" type="noConversion"/>
  <pageMargins left="0.75" right="0.75" top="1" bottom="1" header="0.5" footer="0.5"/>
  <pageSetup orientation="landscape" horizontalDpi="4294967292" verticalDpi="300" r:id="rId1"/>
  <headerFooter alignWithMargins="0">
    <oddHeader>&amp;C&amp;A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39"/>
  <sheetViews>
    <sheetView showGridLines="0" zoomScaleNormal="100" workbookViewId="0">
      <selection activeCell="C2" sqref="C2"/>
    </sheetView>
  </sheetViews>
  <sheetFormatPr defaultRowHeight="12.75" x14ac:dyDescent="0.2"/>
  <cols>
    <col min="2" max="2" width="9.42578125" customWidth="1"/>
    <col min="4" max="4" width="10.140625" customWidth="1"/>
    <col min="6" max="6" width="14.42578125" customWidth="1"/>
    <col min="7" max="7" width="22" customWidth="1"/>
    <col min="8" max="8" width="8.28515625" customWidth="1"/>
    <col min="9" max="9" width="7.5703125" customWidth="1"/>
    <col min="10" max="10" width="7.85546875" customWidth="1"/>
    <col min="11" max="11" width="5.28515625" customWidth="1"/>
  </cols>
  <sheetData>
    <row r="1" spans="1:11" ht="29.25" thickBot="1" x14ac:dyDescent="0.35">
      <c r="A1" s="46" t="s">
        <v>0</v>
      </c>
      <c r="B1" s="47" t="s">
        <v>2</v>
      </c>
      <c r="C1" s="48" t="s">
        <v>60</v>
      </c>
      <c r="D1" s="48" t="s">
        <v>52</v>
      </c>
      <c r="E1" s="48" t="s">
        <v>4</v>
      </c>
      <c r="F1" s="48" t="s">
        <v>53</v>
      </c>
      <c r="G1" s="48" t="s">
        <v>5</v>
      </c>
      <c r="H1" s="49" t="s">
        <v>6</v>
      </c>
      <c r="I1" s="49" t="s">
        <v>1</v>
      </c>
      <c r="J1" s="49" t="s">
        <v>7</v>
      </c>
      <c r="K1" s="50" t="s">
        <v>8</v>
      </c>
    </row>
    <row r="2" spans="1:11" x14ac:dyDescent="0.2">
      <c r="A2" s="33">
        <v>0</v>
      </c>
      <c r="B2" s="34"/>
      <c r="C2" s="35">
        <f>AVERAGE(B3:B14)</f>
        <v>22083.333333333332</v>
      </c>
      <c r="D2" s="35"/>
      <c r="E2" s="35"/>
      <c r="F2" s="35"/>
      <c r="G2" s="35"/>
      <c r="H2" s="35"/>
      <c r="I2" s="35"/>
      <c r="J2" s="35"/>
      <c r="K2" s="36"/>
    </row>
    <row r="3" spans="1:11" x14ac:dyDescent="0.2">
      <c r="A3" s="30">
        <v>1</v>
      </c>
      <c r="B3" s="37">
        <v>8000</v>
      </c>
      <c r="C3" s="38">
        <f t="shared" ref="C3:C14" si="0">$B$20*B3+(1-$B$20)*C2</f>
        <v>20675</v>
      </c>
      <c r="D3" s="38">
        <f>C2</f>
        <v>22083.333333333332</v>
      </c>
      <c r="E3" s="38">
        <f>D3-B3</f>
        <v>14083.333333333332</v>
      </c>
      <c r="F3" s="38">
        <f>ABS(E3)</f>
        <v>14083.333333333332</v>
      </c>
      <c r="G3" s="38">
        <f>SUMSQ($E$3:E3)/A3</f>
        <v>198340277.77777773</v>
      </c>
      <c r="H3" s="38">
        <f>SUM($F$3:F3)/A3</f>
        <v>14083.333333333332</v>
      </c>
      <c r="I3" s="91">
        <f>F3*100/B3</f>
        <v>176.04166666666666</v>
      </c>
      <c r="J3" s="38">
        <f>AVERAGE($I$3:I3)</f>
        <v>176.04166666666666</v>
      </c>
      <c r="K3" s="41">
        <f>SUM($E$3:E3)/H3</f>
        <v>1</v>
      </c>
    </row>
    <row r="4" spans="1:11" x14ac:dyDescent="0.2">
      <c r="A4" s="30">
        <v>2</v>
      </c>
      <c r="B4" s="37">
        <v>13000</v>
      </c>
      <c r="C4" s="38">
        <f t="shared" si="0"/>
        <v>19907.5</v>
      </c>
      <c r="D4" s="38">
        <f>C3</f>
        <v>20675</v>
      </c>
      <c r="E4" s="38">
        <f>D4-B4</f>
        <v>7675</v>
      </c>
      <c r="F4" s="38">
        <f>ABS(E4)</f>
        <v>7675</v>
      </c>
      <c r="G4" s="38">
        <f>SUMSQ($E$3:E4)/A4</f>
        <v>128622951.38888887</v>
      </c>
      <c r="H4" s="38">
        <f>SUM($F$3:F4)/A4</f>
        <v>10879.166666666666</v>
      </c>
      <c r="I4" s="91">
        <f t="shared" ref="I4:I14" si="1">F4*100/B4</f>
        <v>59.03846153846154</v>
      </c>
      <c r="J4" s="38">
        <f>AVERAGE($I$3:I4)</f>
        <v>117.5400641025641</v>
      </c>
      <c r="K4" s="41">
        <f>SUM($E$3:E4)/H4</f>
        <v>2</v>
      </c>
    </row>
    <row r="5" spans="1:11" x14ac:dyDescent="0.2">
      <c r="A5" s="30">
        <v>3</v>
      </c>
      <c r="B5" s="37">
        <v>23000</v>
      </c>
      <c r="C5" s="38">
        <f t="shared" si="0"/>
        <v>20216.75</v>
      </c>
      <c r="D5" s="38">
        <f>C4</f>
        <v>19907.5</v>
      </c>
      <c r="E5" s="38">
        <f>D5-B5</f>
        <v>-3092.5</v>
      </c>
      <c r="F5" s="38">
        <f>ABS(E5)</f>
        <v>3092.5</v>
      </c>
      <c r="G5" s="38">
        <f>SUMSQ($E$3:E5)/A5</f>
        <v>88936486.342592582</v>
      </c>
      <c r="H5" s="38">
        <f>SUM($F$3:F5)/A5</f>
        <v>8283.6111111111113</v>
      </c>
      <c r="I5" s="91">
        <f t="shared" si="1"/>
        <v>13.445652173913043</v>
      </c>
      <c r="J5" s="38">
        <f>AVERAGE($I$3:I5)</f>
        <v>82.841926793013741</v>
      </c>
      <c r="K5" s="41">
        <f>SUM($E$3:E5)/H5</f>
        <v>2.2533449582508966</v>
      </c>
    </row>
    <row r="6" spans="1:11" x14ac:dyDescent="0.2">
      <c r="A6" s="30">
        <v>4</v>
      </c>
      <c r="B6" s="37">
        <v>34000</v>
      </c>
      <c r="C6" s="38">
        <f t="shared" si="0"/>
        <v>21595.075000000001</v>
      </c>
      <c r="D6" s="38">
        <f>C5</f>
        <v>20216.75</v>
      </c>
      <c r="E6" s="38">
        <f>D6-B6</f>
        <v>-13783.25</v>
      </c>
      <c r="F6" s="38">
        <f>ABS(E6)</f>
        <v>13783.25</v>
      </c>
      <c r="G6" s="38">
        <f>SUMSQ($E$3:E6)/A6</f>
        <v>114196859.89756943</v>
      </c>
      <c r="H6" s="38">
        <f>SUM($F$3:F6)/A6</f>
        <v>9658.5208333333321</v>
      </c>
      <c r="I6" s="92">
        <f t="shared" si="1"/>
        <v>40.538970588235294</v>
      </c>
      <c r="J6" s="38">
        <f>AVERAGE($I$3:I6)</f>
        <v>72.266187741819138</v>
      </c>
      <c r="K6" s="41">
        <f>SUM($E$3:E6)/H6</f>
        <v>0.50552081603247556</v>
      </c>
    </row>
    <row r="7" spans="1:11" x14ac:dyDescent="0.2">
      <c r="A7" s="30">
        <v>5</v>
      </c>
      <c r="B7" s="37">
        <v>10000</v>
      </c>
      <c r="C7" s="38">
        <f t="shared" si="0"/>
        <v>20435.567500000001</v>
      </c>
      <c r="D7" s="38">
        <f t="shared" ref="D7:D14" si="2">C6</f>
        <v>21595.075000000001</v>
      </c>
      <c r="E7" s="38">
        <f t="shared" ref="E7:E14" si="3">D7-B7</f>
        <v>11595.075000000001</v>
      </c>
      <c r="F7" s="38">
        <f t="shared" ref="F7:F14" si="4">ABS(E7)</f>
        <v>11595.075000000001</v>
      </c>
      <c r="G7" s="38">
        <f>SUMSQ($E$3:E7)/A7</f>
        <v>118246640.76918054</v>
      </c>
      <c r="H7" s="38">
        <f>SUM($F$3:F7)/A7</f>
        <v>10045.831666666665</v>
      </c>
      <c r="I7" s="92">
        <f t="shared" si="1"/>
        <v>115.95075</v>
      </c>
      <c r="J7" s="38">
        <f>AVERAGE($I$3:I7)</f>
        <v>81.00310019345531</v>
      </c>
      <c r="K7" s="41">
        <f>SUM($E$3:E7)/H7</f>
        <v>1.6402483019905936</v>
      </c>
    </row>
    <row r="8" spans="1:11" x14ac:dyDescent="0.2">
      <c r="A8" s="30">
        <v>6</v>
      </c>
      <c r="B8" s="37">
        <v>18000</v>
      </c>
      <c r="C8" s="38">
        <f t="shared" si="0"/>
        <v>20192.010750000001</v>
      </c>
      <c r="D8" s="38">
        <f t="shared" si="2"/>
        <v>20435.567500000001</v>
      </c>
      <c r="E8" s="38">
        <f t="shared" si="3"/>
        <v>2435.567500000001</v>
      </c>
      <c r="F8" s="38">
        <f t="shared" si="4"/>
        <v>2435.567500000001</v>
      </c>
      <c r="G8" s="38">
        <f>SUMSQ($E$3:E8)/A8</f>
        <v>99527532.14882648</v>
      </c>
      <c r="H8" s="38">
        <f>SUM($F$3:F8)/A8</f>
        <v>8777.454305555555</v>
      </c>
      <c r="I8" s="92">
        <f t="shared" si="1"/>
        <v>13.530930555555562</v>
      </c>
      <c r="J8" s="38">
        <f>AVERAGE($I$3:I8)</f>
        <v>69.757738587138689</v>
      </c>
      <c r="K8" s="41">
        <f>SUM($E$3:E8)/H8</f>
        <v>2.154750702759284</v>
      </c>
    </row>
    <row r="9" spans="1:11" x14ac:dyDescent="0.2">
      <c r="A9" s="30">
        <v>7</v>
      </c>
      <c r="B9" s="37">
        <v>23000</v>
      </c>
      <c r="C9" s="38">
        <f t="shared" si="0"/>
        <v>20472.809675</v>
      </c>
      <c r="D9" s="38">
        <f t="shared" si="2"/>
        <v>20192.010750000001</v>
      </c>
      <c r="E9" s="38">
        <f t="shared" si="3"/>
        <v>-2807.9892499999987</v>
      </c>
      <c r="F9" s="38">
        <f t="shared" si="4"/>
        <v>2807.9892499999987</v>
      </c>
      <c r="G9" s="38">
        <f>SUMSQ($E$3:E9)/A9</f>
        <v>86435713.788724914</v>
      </c>
      <c r="H9" s="38">
        <f>SUM($F$3:F9)/A9</f>
        <v>7924.6735833333323</v>
      </c>
      <c r="I9" s="92">
        <f t="shared" si="1"/>
        <v>12.208648913043472</v>
      </c>
      <c r="J9" s="38">
        <f>AVERAGE($I$3:I9)</f>
        <v>61.53644006226795</v>
      </c>
      <c r="K9" s="41">
        <f>SUM($E$3:E9)/H9</f>
        <v>2.0322902153603954</v>
      </c>
    </row>
    <row r="10" spans="1:11" x14ac:dyDescent="0.2">
      <c r="A10" s="30">
        <v>8</v>
      </c>
      <c r="B10" s="37">
        <v>38000</v>
      </c>
      <c r="C10" s="38">
        <f t="shared" si="0"/>
        <v>22225.528707500001</v>
      </c>
      <c r="D10" s="38">
        <f t="shared" si="2"/>
        <v>20472.809675</v>
      </c>
      <c r="E10" s="38">
        <f t="shared" si="3"/>
        <v>-17527.190325</v>
      </c>
      <c r="F10" s="38">
        <f t="shared" si="4"/>
        <v>17527.190325</v>
      </c>
      <c r="G10" s="38">
        <f>SUMSQ($E$3:E10)/A10</f>
        <v>114031549.65123099</v>
      </c>
      <c r="H10" s="38">
        <f>SUM($F$3:F10)/A10</f>
        <v>9124.9881760416665</v>
      </c>
      <c r="I10" s="92">
        <f t="shared" si="1"/>
        <v>46.124185065789476</v>
      </c>
      <c r="J10" s="38">
        <f>AVERAGE($I$3:I10)</f>
        <v>59.609908187708143</v>
      </c>
      <c r="K10" s="41">
        <f>SUM($E$3:E10)/H10</f>
        <v>-0.15583074895374763</v>
      </c>
    </row>
    <row r="11" spans="1:11" x14ac:dyDescent="0.2">
      <c r="A11" s="30">
        <v>9</v>
      </c>
      <c r="B11" s="37">
        <v>12000</v>
      </c>
      <c r="C11" s="38">
        <f t="shared" si="0"/>
        <v>21202.975836750004</v>
      </c>
      <c r="D11" s="38">
        <f t="shared" si="2"/>
        <v>22225.528707500001</v>
      </c>
      <c r="E11" s="38">
        <f t="shared" si="3"/>
        <v>10225.528707500001</v>
      </c>
      <c r="F11" s="38">
        <f t="shared" si="4"/>
        <v>10225.528707500001</v>
      </c>
      <c r="G11" s="38">
        <f>SUMSQ($E$3:E11)/A11</f>
        <v>112979314.95086162</v>
      </c>
      <c r="H11" s="38">
        <f>SUM($F$3:F11)/A11</f>
        <v>9247.2704573148148</v>
      </c>
      <c r="I11" s="92">
        <f t="shared" si="1"/>
        <v>85.212739229166672</v>
      </c>
      <c r="J11" s="38">
        <f>AVERAGE($I$3:I11)</f>
        <v>62.454667192314645</v>
      </c>
      <c r="K11" s="41">
        <f>SUM($E$3:E11)/H11</f>
        <v>0.95201876126262708</v>
      </c>
    </row>
    <row r="12" spans="1:11" x14ac:dyDescent="0.2">
      <c r="A12" s="30">
        <v>10</v>
      </c>
      <c r="B12" s="37">
        <v>13000</v>
      </c>
      <c r="C12" s="38">
        <f t="shared" si="0"/>
        <v>20382.678253075002</v>
      </c>
      <c r="D12" s="38">
        <f t="shared" si="2"/>
        <v>21202.975836750004</v>
      </c>
      <c r="E12" s="38">
        <f t="shared" si="3"/>
        <v>8202.9758367500035</v>
      </c>
      <c r="F12" s="38">
        <f t="shared" si="4"/>
        <v>8202.9758367500035</v>
      </c>
      <c r="G12" s="38">
        <f>SUMSQ($E$3:E12)/A12</f>
        <v>108410264.71360591</v>
      </c>
      <c r="H12" s="38">
        <f>SUM($F$3:F12)/A12</f>
        <v>9142.8409952583352</v>
      </c>
      <c r="I12" s="92">
        <f t="shared" si="1"/>
        <v>63.099814128846184</v>
      </c>
      <c r="J12" s="38">
        <f>AVERAGE($I$3:I12)</f>
        <v>62.519181885967804</v>
      </c>
      <c r="K12" s="41">
        <f>SUM($E$3:E12)/H12</f>
        <v>1.860094779227079</v>
      </c>
    </row>
    <row r="13" spans="1:11" s="56" customFormat="1" x14ac:dyDescent="0.2">
      <c r="A13" s="30">
        <v>11</v>
      </c>
      <c r="B13" s="37">
        <v>32000</v>
      </c>
      <c r="C13" s="38">
        <f t="shared" si="0"/>
        <v>21544.410427767503</v>
      </c>
      <c r="D13" s="38">
        <f t="shared" si="2"/>
        <v>20382.678253075002</v>
      </c>
      <c r="E13" s="38">
        <f t="shared" si="3"/>
        <v>-11617.321746924998</v>
      </c>
      <c r="F13" s="38">
        <f t="shared" si="4"/>
        <v>11617.321746924998</v>
      </c>
      <c r="G13" s="38">
        <f>SUMSQ($E$3:E13)/A13</f>
        <v>110824073.79160322</v>
      </c>
      <c r="H13" s="38">
        <f>SUM($F$3:F13)/A13</f>
        <v>9367.7937908643944</v>
      </c>
      <c r="I13" s="92">
        <f t="shared" si="1"/>
        <v>36.304130459140616</v>
      </c>
      <c r="J13" s="38">
        <f>AVERAGE($I$3:I13)</f>
        <v>60.135995392619883</v>
      </c>
      <c r="K13" s="41">
        <f>SUM($E$3:E13)/H13</f>
        <v>0.57529330555012814</v>
      </c>
    </row>
    <row r="14" spans="1:11" ht="13.5" thickBot="1" x14ac:dyDescent="0.25">
      <c r="A14" s="12">
        <v>12</v>
      </c>
      <c r="B14" s="52">
        <v>41000</v>
      </c>
      <c r="C14" s="53">
        <f t="shared" si="0"/>
        <v>23489.969384990753</v>
      </c>
      <c r="D14" s="53">
        <f t="shared" si="2"/>
        <v>21544.410427767503</v>
      </c>
      <c r="E14" s="53">
        <f t="shared" si="3"/>
        <v>-19455.589572232497</v>
      </c>
      <c r="F14" s="53">
        <f t="shared" si="4"/>
        <v>19455.589572232497</v>
      </c>
      <c r="G14" s="53">
        <f>SUMSQ($E$3:E14)/A14</f>
        <v>133132064.77589977</v>
      </c>
      <c r="H14" s="53">
        <f>SUM($F$3:F14)/A14</f>
        <v>10208.443439311735</v>
      </c>
      <c r="I14" s="93">
        <f t="shared" si="1"/>
        <v>47.452657493249987</v>
      </c>
      <c r="J14" s="53">
        <f>AVERAGE($I$3:I14)</f>
        <v>59.07905056767239</v>
      </c>
      <c r="K14" s="55">
        <f>SUM($E$3:E14)/H14</f>
        <v>-1.3779143314254894</v>
      </c>
    </row>
    <row r="15" spans="1:11" x14ac:dyDescent="0.2">
      <c r="A15" s="27"/>
      <c r="B15" s="18"/>
      <c r="C15" s="18"/>
      <c r="D15" s="15">
        <f>$C$14</f>
        <v>23489.969384990753</v>
      </c>
      <c r="E15" s="18"/>
      <c r="F15" s="18"/>
      <c r="G15" s="81">
        <f>SQRT(G14)</f>
        <v>11538.286908198277</v>
      </c>
      <c r="H15" s="95">
        <f>1.25*H14</f>
        <v>12760.554299139669</v>
      </c>
      <c r="I15" s="18"/>
      <c r="J15" s="18"/>
      <c r="K15" s="24"/>
    </row>
    <row r="16" spans="1:11" x14ac:dyDescent="0.2">
      <c r="A16" s="27"/>
      <c r="B16" s="18"/>
      <c r="C16" s="18"/>
      <c r="D16" s="15">
        <f>$C$14</f>
        <v>23489.969384990753</v>
      </c>
      <c r="E16" s="18"/>
      <c r="F16" s="18"/>
      <c r="G16" s="18"/>
      <c r="H16" s="18"/>
      <c r="I16" s="18"/>
      <c r="J16" s="18"/>
      <c r="K16" s="24"/>
    </row>
    <row r="17" spans="1:11" s="56" customFormat="1" x14ac:dyDescent="0.2">
      <c r="A17" s="27"/>
      <c r="B17" s="18"/>
      <c r="C17" s="18"/>
      <c r="D17" s="15">
        <f>$C$14</f>
        <v>23489.969384990753</v>
      </c>
      <c r="E17" s="18"/>
      <c r="F17" s="18"/>
      <c r="G17" s="18"/>
      <c r="H17" s="18"/>
      <c r="I17" s="18"/>
      <c r="J17" s="18"/>
      <c r="K17" s="24"/>
    </row>
    <row r="18" spans="1:11" ht="13.5" thickBot="1" x14ac:dyDescent="0.25">
      <c r="A18" s="57"/>
      <c r="B18" s="58"/>
      <c r="C18" s="58"/>
      <c r="D18" s="59">
        <f>$C$14</f>
        <v>23489.969384990753</v>
      </c>
      <c r="E18" s="58"/>
      <c r="F18" s="58"/>
      <c r="G18" s="58"/>
      <c r="H18" s="58"/>
      <c r="I18" s="58"/>
      <c r="J18" s="58"/>
      <c r="K18" s="60"/>
    </row>
    <row r="19" spans="1:11" ht="7.5" customHeight="1" thickBot="1" x14ac:dyDescent="0.25"/>
    <row r="20" spans="1:11" ht="16.5" thickBot="1" x14ac:dyDescent="0.3">
      <c r="A20" s="84" t="s">
        <v>46</v>
      </c>
      <c r="B20" s="4">
        <v>0.1</v>
      </c>
      <c r="C20" s="1"/>
      <c r="D20" s="2"/>
    </row>
    <row r="21" spans="1:11" x14ac:dyDescent="0.2">
      <c r="C21" s="1"/>
      <c r="D21" s="2"/>
    </row>
    <row r="22" spans="1:11" x14ac:dyDescent="0.2">
      <c r="C22" s="1"/>
      <c r="D22" s="2"/>
    </row>
    <row r="23" spans="1:11" x14ac:dyDescent="0.2">
      <c r="C23" s="1"/>
      <c r="D23" s="2"/>
    </row>
    <row r="24" spans="1:11" x14ac:dyDescent="0.2">
      <c r="C24" s="1"/>
      <c r="D24" s="2"/>
    </row>
    <row r="25" spans="1:11" x14ac:dyDescent="0.2">
      <c r="C25" s="1"/>
      <c r="D25" s="2"/>
    </row>
    <row r="26" spans="1:11" x14ac:dyDescent="0.2">
      <c r="C26" s="1"/>
      <c r="D26" s="2"/>
    </row>
    <row r="27" spans="1:11" x14ac:dyDescent="0.2">
      <c r="C27" s="1"/>
      <c r="D27" s="2"/>
    </row>
    <row r="28" spans="1:11" x14ac:dyDescent="0.2">
      <c r="C28" s="1"/>
      <c r="D28" s="2"/>
    </row>
    <row r="29" spans="1:11" x14ac:dyDescent="0.2">
      <c r="C29" s="1"/>
      <c r="D29" s="2"/>
    </row>
    <row r="30" spans="1:11" x14ac:dyDescent="0.2">
      <c r="C30" s="1"/>
      <c r="D30" s="2"/>
    </row>
    <row r="31" spans="1:11" x14ac:dyDescent="0.2">
      <c r="C31" s="1"/>
      <c r="D31" s="2"/>
    </row>
    <row r="32" spans="1:11" x14ac:dyDescent="0.2">
      <c r="B32" s="1"/>
      <c r="C32" s="1"/>
    </row>
    <row r="34" spans="1:3" ht="15.75" x14ac:dyDescent="0.25">
      <c r="A34" s="29" t="s">
        <v>44</v>
      </c>
    </row>
    <row r="36" spans="1:3" x14ac:dyDescent="0.2">
      <c r="C36" s="1"/>
    </row>
    <row r="37" spans="1:3" x14ac:dyDescent="0.2">
      <c r="C37" s="1"/>
    </row>
    <row r="38" spans="1:3" x14ac:dyDescent="0.2">
      <c r="C38" s="1"/>
    </row>
    <row r="39" spans="1:3" x14ac:dyDescent="0.2">
      <c r="C39" s="1"/>
    </row>
  </sheetData>
  <phoneticPr fontId="0" type="noConversion"/>
  <pageMargins left="0.75" right="0.75" top="1" bottom="1" header="0.5" footer="0.5"/>
  <pageSetup orientation="landscape" horizontalDpi="4294967292" verticalDpi="300" r:id="rId1"/>
  <headerFooter alignWithMargins="0">
    <oddHeader>&amp;C&amp;A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L39"/>
  <sheetViews>
    <sheetView showGridLines="0" zoomScaleNormal="100" workbookViewId="0">
      <selection activeCell="C2" sqref="C2"/>
    </sheetView>
  </sheetViews>
  <sheetFormatPr defaultRowHeight="12.75" x14ac:dyDescent="0.2"/>
  <cols>
    <col min="1" max="1" width="8.140625" customWidth="1"/>
    <col min="2" max="2" width="9.85546875" customWidth="1"/>
    <col min="3" max="3" width="7.85546875" customWidth="1"/>
    <col min="4" max="4" width="7.140625" customWidth="1"/>
    <col min="5" max="5" width="10.140625" customWidth="1"/>
    <col min="6" max="6" width="8.140625" customWidth="1"/>
    <col min="7" max="7" width="14.42578125" customWidth="1"/>
    <col min="8" max="8" width="21.7109375" customWidth="1"/>
    <col min="9" max="9" width="6.7109375" customWidth="1"/>
    <col min="10" max="10" width="7" customWidth="1"/>
    <col min="11" max="11" width="7.42578125" customWidth="1"/>
    <col min="12" max="12" width="5.42578125" customWidth="1"/>
  </cols>
  <sheetData>
    <row r="1" spans="1:12" ht="29.25" thickBot="1" x14ac:dyDescent="0.35">
      <c r="A1" s="46" t="s">
        <v>0</v>
      </c>
      <c r="B1" s="47" t="s">
        <v>2</v>
      </c>
      <c r="C1" s="48" t="s">
        <v>60</v>
      </c>
      <c r="D1" s="48" t="s">
        <v>54</v>
      </c>
      <c r="E1" s="48" t="s">
        <v>55</v>
      </c>
      <c r="F1" s="48" t="s">
        <v>4</v>
      </c>
      <c r="G1" s="48" t="s">
        <v>53</v>
      </c>
      <c r="H1" s="48" t="s">
        <v>5</v>
      </c>
      <c r="I1" s="49" t="s">
        <v>6</v>
      </c>
      <c r="J1" s="49" t="s">
        <v>1</v>
      </c>
      <c r="K1" s="49" t="s">
        <v>7</v>
      </c>
      <c r="L1" s="50" t="s">
        <v>8</v>
      </c>
    </row>
    <row r="2" spans="1:12" x14ac:dyDescent="0.2">
      <c r="A2" s="33">
        <v>0</v>
      </c>
      <c r="B2" s="34"/>
      <c r="C2" s="35">
        <v>12015</v>
      </c>
      <c r="D2" s="35">
        <v>1549</v>
      </c>
      <c r="E2" s="35"/>
      <c r="F2" s="35"/>
      <c r="G2" s="35"/>
      <c r="H2" s="35"/>
      <c r="I2" s="35"/>
      <c r="J2" s="35"/>
      <c r="K2" s="35"/>
      <c r="L2" s="36"/>
    </row>
    <row r="3" spans="1:12" x14ac:dyDescent="0.2">
      <c r="A3" s="30">
        <v>1</v>
      </c>
      <c r="B3" s="37">
        <v>8000</v>
      </c>
      <c r="C3" s="38">
        <f t="shared" ref="C3:C14" si="0">$B$20*B3+(1-$B$20)*(C2+D2)</f>
        <v>13007.6</v>
      </c>
      <c r="D3" s="38">
        <f t="shared" ref="D3:D14" si="1">$B$21*(C3-C2)+(1-$B$21)*D2</f>
        <v>1437.7200000000003</v>
      </c>
      <c r="E3" s="38">
        <f>C2+D2</f>
        <v>13564</v>
      </c>
      <c r="F3" s="38">
        <f t="shared" ref="F3:F14" si="2">E3-B3</f>
        <v>5564</v>
      </c>
      <c r="G3" s="38">
        <f t="shared" ref="G3:G14" si="3">ABS(F3)</f>
        <v>5564</v>
      </c>
      <c r="H3" s="38">
        <f>SUMSQ($F$3:F3)/A3</f>
        <v>30958096</v>
      </c>
      <c r="I3" s="38">
        <f>SUM($G$3:G3)/A3</f>
        <v>5564</v>
      </c>
      <c r="J3" s="96">
        <f>100*G3/B3</f>
        <v>69.55</v>
      </c>
      <c r="K3" s="62">
        <f>AVERAGE($J$3:J3)</f>
        <v>69.55</v>
      </c>
      <c r="L3" s="41">
        <f>SUM($F$3:F3)/I3</f>
        <v>1</v>
      </c>
    </row>
    <row r="4" spans="1:12" x14ac:dyDescent="0.2">
      <c r="A4" s="30">
        <v>2</v>
      </c>
      <c r="B4" s="37">
        <v>13000</v>
      </c>
      <c r="C4" s="38">
        <f t="shared" si="0"/>
        <v>14300.788</v>
      </c>
      <c r="D4" s="38">
        <f t="shared" si="1"/>
        <v>1408.8136000000002</v>
      </c>
      <c r="E4" s="38">
        <f t="shared" ref="E4:E14" si="4">C3+D3</f>
        <v>14445.32</v>
      </c>
      <c r="F4" s="38">
        <f t="shared" si="2"/>
        <v>1445.3199999999997</v>
      </c>
      <c r="G4" s="38">
        <f t="shared" si="3"/>
        <v>1445.3199999999997</v>
      </c>
      <c r="H4" s="38">
        <f>SUMSQ($F$3:F4)/A4</f>
        <v>16523522.951199999</v>
      </c>
      <c r="I4" s="38">
        <f>SUM($G$3:G4)/A4</f>
        <v>3504.66</v>
      </c>
      <c r="J4" s="96">
        <f t="shared" ref="J4:J14" si="5">100*G4/B4</f>
        <v>11.117846153846152</v>
      </c>
      <c r="K4" s="62">
        <f>AVERAGE($J$3:J4)</f>
        <v>40.333923076923071</v>
      </c>
      <c r="L4" s="41">
        <f>SUM($F$3:F4)/I4</f>
        <v>2</v>
      </c>
    </row>
    <row r="5" spans="1:12" x14ac:dyDescent="0.2">
      <c r="A5" s="30">
        <v>3</v>
      </c>
      <c r="B5" s="37">
        <v>23000</v>
      </c>
      <c r="C5" s="38">
        <f t="shared" si="0"/>
        <v>16438.641439999999</v>
      </c>
      <c r="D5" s="38">
        <f t="shared" si="1"/>
        <v>1554.621568</v>
      </c>
      <c r="E5" s="38">
        <f t="shared" si="4"/>
        <v>15709.6016</v>
      </c>
      <c r="F5" s="38">
        <f t="shared" si="2"/>
        <v>-7290.3984</v>
      </c>
      <c r="G5" s="38">
        <f t="shared" si="3"/>
        <v>7290.3984</v>
      </c>
      <c r="H5" s="38">
        <f>SUMSQ($F$3:F5)/A5</f>
        <v>28732318.244374186</v>
      </c>
      <c r="I5" s="38">
        <f>SUM($G$3:G5)/A5</f>
        <v>4766.5727999999999</v>
      </c>
      <c r="J5" s="96">
        <f t="shared" si="5"/>
        <v>31.697384347826084</v>
      </c>
      <c r="K5" s="62">
        <f>AVERAGE($J$3:J5)</f>
        <v>37.455076833890743</v>
      </c>
      <c r="L5" s="41">
        <f>SUM($F$3:F5)/I5</f>
        <v>-5.8968657732448845E-2</v>
      </c>
    </row>
    <row r="6" spans="1:12" x14ac:dyDescent="0.2">
      <c r="A6" s="30">
        <v>4</v>
      </c>
      <c r="B6" s="37">
        <v>34000</v>
      </c>
      <c r="C6" s="38">
        <f t="shared" si="0"/>
        <v>19593.936707199999</v>
      </c>
      <c r="D6" s="38">
        <f t="shared" si="1"/>
        <v>1874.7563078399999</v>
      </c>
      <c r="E6" s="38">
        <f t="shared" si="4"/>
        <v>17993.263007999998</v>
      </c>
      <c r="F6" s="38">
        <f t="shared" si="2"/>
        <v>-16006.736992000002</v>
      </c>
      <c r="G6" s="38">
        <f t="shared" si="3"/>
        <v>16006.736992000002</v>
      </c>
      <c r="H6" s="38">
        <f>SUMSQ($F$3:F6)/A6</f>
        <v>85603145.966045946</v>
      </c>
      <c r="I6" s="40">
        <f>SUM($G$3:G6)/A6</f>
        <v>7576.6138480000009</v>
      </c>
      <c r="J6" s="96">
        <f t="shared" si="5"/>
        <v>47.078638211764712</v>
      </c>
      <c r="K6" s="62">
        <f>AVERAGE($J$3:J6)</f>
        <v>39.860967178359232</v>
      </c>
      <c r="L6" s="41">
        <f>SUM($F$3:F6)/I6</f>
        <v>-2.1497486500911616</v>
      </c>
    </row>
    <row r="7" spans="1:12" x14ac:dyDescent="0.2">
      <c r="A7" s="30">
        <v>5</v>
      </c>
      <c r="B7" s="37">
        <v>10000</v>
      </c>
      <c r="C7" s="38">
        <f t="shared" si="0"/>
        <v>20321.823713536</v>
      </c>
      <c r="D7" s="38">
        <f t="shared" si="1"/>
        <v>1645.3824475392003</v>
      </c>
      <c r="E7" s="38">
        <f t="shared" si="4"/>
        <v>21468.69301504</v>
      </c>
      <c r="F7" s="38">
        <f t="shared" si="2"/>
        <v>11468.69301504</v>
      </c>
      <c r="G7" s="38">
        <f t="shared" si="3"/>
        <v>11468.69301504</v>
      </c>
      <c r="H7" s="38">
        <f>SUMSQ($F$3:F7)/A7</f>
        <v>94788700.667482212</v>
      </c>
      <c r="I7" s="40">
        <f>SUM($G$3:G7)/A7</f>
        <v>8355.0296814080011</v>
      </c>
      <c r="J7" s="96">
        <f t="shared" si="5"/>
        <v>114.6869301504</v>
      </c>
      <c r="K7" s="62">
        <f>AVERAGE($J$3:J7)</f>
        <v>54.82615977276739</v>
      </c>
      <c r="L7" s="41">
        <f>SUM($F$3:F7)/I7</f>
        <v>-0.57679296911221467</v>
      </c>
    </row>
    <row r="8" spans="1:12" x14ac:dyDescent="0.2">
      <c r="A8" s="30">
        <v>6</v>
      </c>
      <c r="B8" s="37">
        <v>18000</v>
      </c>
      <c r="C8" s="38">
        <f t="shared" si="0"/>
        <v>21570.48554496768</v>
      </c>
      <c r="D8" s="38">
        <f t="shared" si="1"/>
        <v>1566.0383243176962</v>
      </c>
      <c r="E8" s="38">
        <f t="shared" si="4"/>
        <v>21967.206161075199</v>
      </c>
      <c r="F8" s="38">
        <f t="shared" si="2"/>
        <v>3967.2061610751989</v>
      </c>
      <c r="G8" s="38">
        <f t="shared" si="3"/>
        <v>3967.2061610751989</v>
      </c>
      <c r="H8" s="38">
        <f>SUMSQ($F$3:F8)/A8</f>
        <v>81613704.676980674</v>
      </c>
      <c r="I8" s="40">
        <f>SUM($G$3:G8)/A8</f>
        <v>7623.7257613525335</v>
      </c>
      <c r="J8" s="96">
        <f t="shared" si="5"/>
        <v>22.040034228195548</v>
      </c>
      <c r="K8" s="62">
        <f>AVERAGE($J$3:J8)</f>
        <v>49.361805515338752</v>
      </c>
      <c r="L8" s="41">
        <f>SUM($F$3:F8)/I8</f>
        <v>-0.11174539097451265</v>
      </c>
    </row>
    <row r="9" spans="1:12" x14ac:dyDescent="0.2">
      <c r="A9" s="30">
        <v>7</v>
      </c>
      <c r="B9" s="37">
        <v>23000</v>
      </c>
      <c r="C9" s="38">
        <f t="shared" si="0"/>
        <v>23122.871482356837</v>
      </c>
      <c r="D9" s="38">
        <f t="shared" si="1"/>
        <v>1563.3078469319885</v>
      </c>
      <c r="E9" s="38">
        <f t="shared" si="4"/>
        <v>23136.523869285375</v>
      </c>
      <c r="F9" s="38">
        <f t="shared" si="2"/>
        <v>136.52386928537453</v>
      </c>
      <c r="G9" s="38">
        <f t="shared" si="3"/>
        <v>136.52386928537453</v>
      </c>
      <c r="H9" s="38">
        <f>SUMSQ($F$3:F9)/A9</f>
        <v>69957266.689824089</v>
      </c>
      <c r="I9" s="40">
        <f>SUM($G$3:G9)/A9</f>
        <v>6554.1254910572252</v>
      </c>
      <c r="J9" s="96">
        <f t="shared" si="5"/>
        <v>0.59358204037119366</v>
      </c>
      <c r="K9" s="62">
        <f>AVERAGE($J$3:J9)</f>
        <v>42.394916447486246</v>
      </c>
      <c r="L9" s="41">
        <f>SUM($F$3:F9)/I9</f>
        <v>-0.10915145698316966</v>
      </c>
    </row>
    <row r="10" spans="1:12" x14ac:dyDescent="0.2">
      <c r="A10" s="30">
        <v>8</v>
      </c>
      <c r="B10" s="37">
        <v>38000</v>
      </c>
      <c r="C10" s="38">
        <f t="shared" si="0"/>
        <v>26017.561396359943</v>
      </c>
      <c r="D10" s="38">
        <f t="shared" si="1"/>
        <v>1829.584260346212</v>
      </c>
      <c r="E10" s="38">
        <f t="shared" si="4"/>
        <v>24686.179329288825</v>
      </c>
      <c r="F10" s="38">
        <f t="shared" si="2"/>
        <v>-13313.820670711175</v>
      </c>
      <c r="G10" s="38">
        <f t="shared" si="3"/>
        <v>13313.820670711175</v>
      </c>
      <c r="H10" s="38">
        <f>SUMSQ($F$3:F10)/A10</f>
        <v>83369835.960078105</v>
      </c>
      <c r="I10" s="40">
        <f>SUM($G$3:G10)/A10</f>
        <v>7399.087388513969</v>
      </c>
      <c r="J10" s="96">
        <f t="shared" si="5"/>
        <v>35.036370186082038</v>
      </c>
      <c r="K10" s="62">
        <f>AVERAGE($J$3:J10)</f>
        <v>41.475098164810717</v>
      </c>
      <c r="L10" s="41">
        <f>SUM($F$3:F10)/I10</f>
        <v>-1.8960734318517392</v>
      </c>
    </row>
    <row r="11" spans="1:12" x14ac:dyDescent="0.2">
      <c r="A11" s="30">
        <v>9</v>
      </c>
      <c r="B11" s="37">
        <v>12000</v>
      </c>
      <c r="C11" s="38">
        <f t="shared" si="0"/>
        <v>26262.431091035538</v>
      </c>
      <c r="D11" s="38">
        <f t="shared" si="1"/>
        <v>1512.6413472120887</v>
      </c>
      <c r="E11" s="38">
        <f t="shared" si="4"/>
        <v>27847.145656706154</v>
      </c>
      <c r="F11" s="38">
        <f t="shared" si="2"/>
        <v>15847.145656706154</v>
      </c>
      <c r="G11" s="38">
        <f t="shared" si="3"/>
        <v>15847.145656706154</v>
      </c>
      <c r="H11" s="38">
        <f>SUMSQ($F$3:F11)/A11</f>
        <v>102010079.23838729</v>
      </c>
      <c r="I11" s="40">
        <f>SUM($G$3:G11)/A11</f>
        <v>8337.760529424213</v>
      </c>
      <c r="J11" s="96">
        <f t="shared" si="5"/>
        <v>132.05954713921795</v>
      </c>
      <c r="K11" s="62">
        <f>AVERAGE($J$3:J11)</f>
        <v>51.540036939744851</v>
      </c>
      <c r="L11" s="41">
        <f>SUM($F$3:F11)/I11</f>
        <v>0.21803608210862024</v>
      </c>
    </row>
    <row r="12" spans="1:12" x14ac:dyDescent="0.2">
      <c r="A12" s="30">
        <v>10</v>
      </c>
      <c r="B12" s="37">
        <v>13000</v>
      </c>
      <c r="C12" s="38">
        <f t="shared" si="0"/>
        <v>26297.565194422863</v>
      </c>
      <c r="D12" s="38">
        <f t="shared" si="1"/>
        <v>1217.1398984471359</v>
      </c>
      <c r="E12" s="38">
        <f t="shared" si="4"/>
        <v>27775.072438247626</v>
      </c>
      <c r="F12" s="38">
        <f t="shared" si="2"/>
        <v>14775.072438247626</v>
      </c>
      <c r="G12" s="38">
        <f t="shared" si="3"/>
        <v>14775.072438247626</v>
      </c>
      <c r="H12" s="38">
        <f>SUMSQ($F$3:F12)/A12</f>
        <v>113639347.87009501</v>
      </c>
      <c r="I12" s="40">
        <f>SUM($G$3:G12)/A12</f>
        <v>8981.4917203065525</v>
      </c>
      <c r="J12" s="96">
        <f t="shared" si="5"/>
        <v>113.65440337113557</v>
      </c>
      <c r="K12" s="62">
        <f>AVERAGE($J$3:J12)</f>
        <v>57.751473582883932</v>
      </c>
      <c r="L12" s="41">
        <f>SUM($F$3:F12)/I12</f>
        <v>1.8474665004842681</v>
      </c>
    </row>
    <row r="13" spans="1:12" x14ac:dyDescent="0.2">
      <c r="A13" s="30">
        <v>11</v>
      </c>
      <c r="B13" s="37">
        <v>32000</v>
      </c>
      <c r="C13" s="38">
        <f t="shared" si="0"/>
        <v>27963.234583582998</v>
      </c>
      <c r="D13" s="38">
        <f t="shared" si="1"/>
        <v>1306.845796589736</v>
      </c>
      <c r="E13" s="38">
        <f t="shared" si="4"/>
        <v>27514.705092869997</v>
      </c>
      <c r="F13" s="38">
        <f t="shared" si="2"/>
        <v>-4485.2949071300027</v>
      </c>
      <c r="G13" s="38">
        <f t="shared" si="3"/>
        <v>4485.2949071300027</v>
      </c>
      <c r="H13" s="38">
        <f>SUMSQ($F$3:F13)/A13</f>
        <v>105137395.3731706</v>
      </c>
      <c r="I13" s="40">
        <f>SUM($G$3:G13)/A13</f>
        <v>8572.7465554723221</v>
      </c>
      <c r="J13" s="96">
        <f t="shared" si="5"/>
        <v>14.01654658478126</v>
      </c>
      <c r="K13" s="62">
        <f>AVERAGE($J$3:J13)</f>
        <v>53.775571128510961</v>
      </c>
      <c r="L13" s="41">
        <f>SUM($F$3:F13)/I13</f>
        <v>1.4123490169885335</v>
      </c>
    </row>
    <row r="14" spans="1:12" ht="13.5" thickBot="1" x14ac:dyDescent="0.25">
      <c r="A14" s="12">
        <v>12</v>
      </c>
      <c r="B14" s="52">
        <v>41000</v>
      </c>
      <c r="C14" s="53">
        <f t="shared" si="0"/>
        <v>30443.072342155461</v>
      </c>
      <c r="D14" s="53">
        <f t="shared" si="1"/>
        <v>1541.4441889862815</v>
      </c>
      <c r="E14" s="53">
        <f t="shared" si="4"/>
        <v>29270.080380172734</v>
      </c>
      <c r="F14" s="53">
        <f t="shared" si="2"/>
        <v>-11729.919619827266</v>
      </c>
      <c r="G14" s="53">
        <f t="shared" si="3"/>
        <v>11729.919619827266</v>
      </c>
      <c r="H14" s="53">
        <f>SUMSQ($F$3:F14)/A14</f>
        <v>107841863.61604042</v>
      </c>
      <c r="I14" s="54">
        <f>SUM($G$3:G14)/A14</f>
        <v>8835.8443108352349</v>
      </c>
      <c r="J14" s="97">
        <f t="shared" si="5"/>
        <v>28.609560048359185</v>
      </c>
      <c r="K14" s="63">
        <f>AVERAGE($J$3:J14)</f>
        <v>51.678403538498316</v>
      </c>
      <c r="L14" s="55">
        <f>SUM($F$3:F14)/I14</f>
        <v>4.2756587530931076E-2</v>
      </c>
    </row>
    <row r="15" spans="1:12" x14ac:dyDescent="0.2">
      <c r="A15" s="27"/>
      <c r="B15" s="18"/>
      <c r="C15" s="18"/>
      <c r="D15" s="15"/>
      <c r="E15" s="15">
        <f>$C$14+$D$14</f>
        <v>31984.516531141744</v>
      </c>
      <c r="F15" s="18"/>
      <c r="G15" s="18"/>
      <c r="H15" s="18"/>
      <c r="I15" s="18"/>
      <c r="J15" s="18"/>
      <c r="K15" s="18"/>
      <c r="L15" s="24"/>
    </row>
    <row r="16" spans="1:12" x14ac:dyDescent="0.2">
      <c r="A16" s="27"/>
      <c r="B16" s="18"/>
      <c r="C16" s="18"/>
      <c r="D16" s="15"/>
      <c r="E16" s="15">
        <f>$C$14+2*$D$14</f>
        <v>33525.960720128023</v>
      </c>
      <c r="F16" s="18"/>
      <c r="G16" s="18"/>
      <c r="H16" s="18"/>
      <c r="I16" s="18"/>
      <c r="J16" s="18"/>
      <c r="K16" s="18"/>
      <c r="L16" s="24"/>
    </row>
    <row r="17" spans="1:12" x14ac:dyDescent="0.2">
      <c r="A17" s="27"/>
      <c r="B17" s="18"/>
      <c r="C17" s="18"/>
      <c r="D17" s="15"/>
      <c r="E17" s="15">
        <f>$C$14+3*$D$14</f>
        <v>35067.40490911431</v>
      </c>
      <c r="F17" s="18"/>
      <c r="G17" s="18"/>
      <c r="H17" s="18"/>
      <c r="I17" s="18"/>
      <c r="J17" s="18"/>
      <c r="K17" s="18"/>
      <c r="L17" s="24"/>
    </row>
    <row r="18" spans="1:12" ht="13.5" thickBot="1" x14ac:dyDescent="0.25">
      <c r="A18" s="57"/>
      <c r="B18" s="58"/>
      <c r="C18" s="58"/>
      <c r="D18" s="59"/>
      <c r="E18" s="59">
        <f>$C$14+4*$D$14</f>
        <v>36608.849098100589</v>
      </c>
      <c r="F18" s="58"/>
      <c r="G18" s="58"/>
      <c r="H18" s="58"/>
      <c r="I18" s="58"/>
      <c r="J18" s="58"/>
      <c r="K18" s="58"/>
      <c r="L18" s="60"/>
    </row>
    <row r="19" spans="1:12" ht="6" customHeight="1" thickBot="1" x14ac:dyDescent="0.25"/>
    <row r="20" spans="1:12" ht="15.75" x14ac:dyDescent="0.25">
      <c r="A20" s="85" t="s">
        <v>46</v>
      </c>
      <c r="B20" s="82">
        <v>0.1</v>
      </c>
      <c r="C20" s="1"/>
      <c r="D20" s="1"/>
      <c r="E20" s="2"/>
    </row>
    <row r="21" spans="1:12" ht="16.5" thickBot="1" x14ac:dyDescent="0.3">
      <c r="A21" s="86" t="s">
        <v>47</v>
      </c>
      <c r="B21" s="83">
        <v>0.2</v>
      </c>
      <c r="C21" s="1"/>
      <c r="D21" s="1"/>
      <c r="E21" s="2"/>
    </row>
    <row r="22" spans="1:12" x14ac:dyDescent="0.2">
      <c r="C22" s="1"/>
      <c r="D22" s="1"/>
      <c r="E22" s="2"/>
    </row>
    <row r="23" spans="1:12" x14ac:dyDescent="0.2">
      <c r="C23" s="1"/>
      <c r="D23" s="1"/>
      <c r="E23" s="2"/>
    </row>
    <row r="24" spans="1:12" x14ac:dyDescent="0.2">
      <c r="C24" s="1"/>
      <c r="D24" s="1"/>
      <c r="E24" s="2"/>
    </row>
    <row r="25" spans="1:12" x14ac:dyDescent="0.2">
      <c r="C25" s="1"/>
      <c r="D25" s="1"/>
      <c r="E25" s="2"/>
    </row>
    <row r="26" spans="1:12" x14ac:dyDescent="0.2">
      <c r="C26" s="1"/>
      <c r="D26" s="1"/>
      <c r="E26" s="2"/>
    </row>
    <row r="27" spans="1:12" x14ac:dyDescent="0.2">
      <c r="C27" s="1"/>
      <c r="D27" s="1"/>
      <c r="E27" s="2"/>
    </row>
    <row r="28" spans="1:12" x14ac:dyDescent="0.2">
      <c r="C28" s="1"/>
      <c r="D28" s="1"/>
      <c r="E28" s="2"/>
    </row>
    <row r="29" spans="1:12" x14ac:dyDescent="0.2">
      <c r="C29" s="1"/>
      <c r="D29" s="1"/>
      <c r="E29" s="2"/>
    </row>
    <row r="30" spans="1:12" x14ac:dyDescent="0.2">
      <c r="C30" s="1"/>
      <c r="D30" s="1"/>
      <c r="E30" s="2"/>
    </row>
    <row r="31" spans="1:12" x14ac:dyDescent="0.2">
      <c r="C31" s="1"/>
      <c r="D31" s="1"/>
      <c r="E31" s="2"/>
    </row>
    <row r="32" spans="1:12" x14ac:dyDescent="0.2">
      <c r="B32" s="1"/>
      <c r="C32" s="1"/>
      <c r="D32" s="1"/>
    </row>
    <row r="35" spans="1:4" ht="15.75" x14ac:dyDescent="0.25">
      <c r="A35" s="29" t="s">
        <v>23</v>
      </c>
    </row>
    <row r="36" spans="1:4" x14ac:dyDescent="0.2">
      <c r="C36" s="1"/>
      <c r="D36" s="1"/>
    </row>
    <row r="37" spans="1:4" x14ac:dyDescent="0.2">
      <c r="C37" s="1"/>
      <c r="D37" s="1"/>
    </row>
    <row r="38" spans="1:4" x14ac:dyDescent="0.2">
      <c r="C38" s="1"/>
      <c r="D38" s="1"/>
    </row>
    <row r="39" spans="1:4" x14ac:dyDescent="0.2">
      <c r="C39" s="1"/>
      <c r="D39" s="1"/>
    </row>
  </sheetData>
  <phoneticPr fontId="0" type="noConversion"/>
  <pageMargins left="0.75" right="0.75" top="1" bottom="1" header="0.5" footer="0.5"/>
  <pageSetup scale="98" orientation="landscape" horizontalDpi="4294967292" verticalDpi="300" r:id="rId1"/>
  <headerFooter alignWithMargins="0">
    <oddHeader>&amp;C&amp;A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M39"/>
  <sheetViews>
    <sheetView zoomScaleNormal="100" workbookViewId="0">
      <selection activeCell="C2" sqref="C2"/>
    </sheetView>
  </sheetViews>
  <sheetFormatPr defaultRowHeight="12.75" x14ac:dyDescent="0.2"/>
  <cols>
    <col min="1" max="1" width="9.5703125" customWidth="1"/>
    <col min="3" max="4" width="7.5703125" customWidth="1"/>
    <col min="5" max="5" width="16.42578125" customWidth="1"/>
    <col min="6" max="6" width="10.140625" customWidth="1"/>
    <col min="7" max="7" width="7.42578125" customWidth="1"/>
    <col min="8" max="8" width="14.42578125" customWidth="1"/>
    <col min="9" max="9" width="21.85546875" customWidth="1"/>
    <col min="10" max="10" width="6.5703125" customWidth="1"/>
    <col min="11" max="11" width="7.5703125" customWidth="1"/>
    <col min="12" max="12" width="7.42578125" customWidth="1"/>
    <col min="13" max="13" width="5.28515625" customWidth="1"/>
  </cols>
  <sheetData>
    <row r="1" spans="1:13" ht="29.25" thickBot="1" x14ac:dyDescent="0.35">
      <c r="A1" s="51" t="s">
        <v>0</v>
      </c>
      <c r="B1" s="46" t="s">
        <v>2</v>
      </c>
      <c r="C1" s="47" t="s">
        <v>60</v>
      </c>
      <c r="D1" s="48" t="s">
        <v>54</v>
      </c>
      <c r="E1" s="48" t="s">
        <v>56</v>
      </c>
      <c r="F1" s="48" t="s">
        <v>3</v>
      </c>
      <c r="G1" s="48" t="s">
        <v>4</v>
      </c>
      <c r="H1" s="48" t="s">
        <v>57</v>
      </c>
      <c r="I1" s="48" t="s">
        <v>24</v>
      </c>
      <c r="J1" s="49" t="s">
        <v>6</v>
      </c>
      <c r="K1" s="49" t="s">
        <v>1</v>
      </c>
      <c r="L1" s="49" t="s">
        <v>7</v>
      </c>
      <c r="M1" s="50" t="s">
        <v>8</v>
      </c>
    </row>
    <row r="2" spans="1:13" x14ac:dyDescent="0.2">
      <c r="A2" s="11"/>
      <c r="B2" s="33"/>
      <c r="C2" s="34">
        <v>18439</v>
      </c>
      <c r="D2" s="35">
        <v>524</v>
      </c>
      <c r="E2" s="35"/>
      <c r="F2" s="35"/>
      <c r="G2" s="35"/>
      <c r="H2" s="35"/>
      <c r="I2" s="35"/>
      <c r="J2" s="35"/>
      <c r="K2" s="35"/>
      <c r="L2" s="35"/>
      <c r="M2" s="67"/>
    </row>
    <row r="3" spans="1:13" x14ac:dyDescent="0.2">
      <c r="A3" s="11">
        <v>1</v>
      </c>
      <c r="B3" s="66">
        <v>8000</v>
      </c>
      <c r="C3" s="37">
        <f t="shared" ref="C3:C14" si="0">$B$20*(B3/E3)+(1-$B$20)*(C2+D2)</f>
        <v>18865.913829787234</v>
      </c>
      <c r="D3" s="38">
        <f t="shared" ref="D3:D14" si="1">$B$21*(C3-C2)+(1-$B$21)*D2</f>
        <v>514.29138297872339</v>
      </c>
      <c r="E3" s="62">
        <v>0.47</v>
      </c>
      <c r="F3" s="38">
        <f>(C2+D2)*E3</f>
        <v>8912.6099999999988</v>
      </c>
      <c r="G3" s="38">
        <f t="shared" ref="G3:G14" si="2">F3-B3</f>
        <v>912.60999999999876</v>
      </c>
      <c r="H3" s="38">
        <f t="shared" ref="H3:H14" si="3">ABS(G3)</f>
        <v>912.60999999999876</v>
      </c>
      <c r="I3" s="38">
        <f>SUMSQ($G$3:G3)/A3</f>
        <v>832857.01209999772</v>
      </c>
      <c r="J3" s="40">
        <f>SUM($H$3:H3)/A3</f>
        <v>912.60999999999876</v>
      </c>
      <c r="K3" s="38">
        <f>100*H3/B3</f>
        <v>11.407624999999985</v>
      </c>
      <c r="L3" s="62">
        <f>AVERAGE($K$3:K3)</f>
        <v>11.407624999999985</v>
      </c>
      <c r="M3" s="41">
        <f>SUM($G$3:G3)/J3</f>
        <v>1</v>
      </c>
    </row>
    <row r="4" spans="1:13" x14ac:dyDescent="0.2">
      <c r="A4" s="6">
        <v>2</v>
      </c>
      <c r="B4" s="66">
        <v>13000</v>
      </c>
      <c r="C4" s="37">
        <f t="shared" si="0"/>
        <v>19367.077305068837</v>
      </c>
      <c r="D4" s="38">
        <f t="shared" si="1"/>
        <v>512.97859220901137</v>
      </c>
      <c r="E4" s="62">
        <v>0.68</v>
      </c>
      <c r="F4" s="38">
        <f t="shared" ref="F4:F14" si="4">(C3+D3)*E4</f>
        <v>13178.539544680852</v>
      </c>
      <c r="G4" s="38">
        <f t="shared" si="2"/>
        <v>178.53954468085249</v>
      </c>
      <c r="H4" s="38">
        <f t="shared" si="3"/>
        <v>178.53954468085249</v>
      </c>
      <c r="I4" s="38">
        <f>SUMSQ($G$3:G4)/A4</f>
        <v>432366.69055742194</v>
      </c>
      <c r="J4" s="40">
        <f>SUM($H$3:H4)/A4</f>
        <v>545.57477234042562</v>
      </c>
      <c r="K4" s="38">
        <f t="shared" ref="K4:K14" si="5">100*H4/B4</f>
        <v>1.3733811129296345</v>
      </c>
      <c r="L4" s="62">
        <f>AVERAGE($K$3:K4)</f>
        <v>6.3905030564648095</v>
      </c>
      <c r="M4" s="41">
        <f>SUM($G$3:G4)/J4</f>
        <v>2</v>
      </c>
    </row>
    <row r="5" spans="1:13" x14ac:dyDescent="0.2">
      <c r="A5" s="6">
        <v>3</v>
      </c>
      <c r="B5" s="66">
        <v>23000</v>
      </c>
      <c r="C5" s="37">
        <f t="shared" si="0"/>
        <v>19868.959085319941</v>
      </c>
      <c r="D5" s="38">
        <f t="shared" si="1"/>
        <v>511.86891101322067</v>
      </c>
      <c r="E5" s="62">
        <v>1.17</v>
      </c>
      <c r="F5" s="38">
        <f t="shared" si="4"/>
        <v>23259.665399815083</v>
      </c>
      <c r="G5" s="38">
        <f t="shared" si="2"/>
        <v>259.66539981508322</v>
      </c>
      <c r="H5" s="38">
        <f t="shared" si="3"/>
        <v>259.66539981508322</v>
      </c>
      <c r="I5" s="38">
        <f>SUMSQ($G$3:G5)/A5</f>
        <v>310719.83365865698</v>
      </c>
      <c r="J5" s="40">
        <f>SUM($H$3:H5)/A5</f>
        <v>450.27164816531149</v>
      </c>
      <c r="K5" s="38">
        <f t="shared" si="5"/>
        <v>1.1289799991960141</v>
      </c>
      <c r="L5" s="62">
        <f>AVERAGE($K$3:K5)</f>
        <v>4.6366620373752108</v>
      </c>
      <c r="M5" s="41">
        <f>SUM($G$3:G5)/J5</f>
        <v>3</v>
      </c>
    </row>
    <row r="6" spans="1:13" x14ac:dyDescent="0.2">
      <c r="A6" s="6">
        <v>4</v>
      </c>
      <c r="B6" s="66">
        <v>34000</v>
      </c>
      <c r="C6" s="37">
        <f t="shared" si="0"/>
        <v>20379.750668372792</v>
      </c>
      <c r="D6" s="38">
        <f t="shared" si="1"/>
        <v>511.76117821718373</v>
      </c>
      <c r="E6" s="62">
        <v>1.67</v>
      </c>
      <c r="F6" s="38">
        <f t="shared" si="4"/>
        <v>34035.982753876378</v>
      </c>
      <c r="G6" s="38">
        <f t="shared" si="2"/>
        <v>35.98275387637841</v>
      </c>
      <c r="H6" s="38">
        <f t="shared" si="3"/>
        <v>35.98275387637841</v>
      </c>
      <c r="I6" s="38">
        <f>SUMSQ($G$3:G6)/A6</f>
        <v>233363.56488812473</v>
      </c>
      <c r="J6" s="40">
        <f>SUM($H$3:H6)/A6</f>
        <v>346.69942459307822</v>
      </c>
      <c r="K6" s="38">
        <f t="shared" si="5"/>
        <v>0.1058316290481718</v>
      </c>
      <c r="L6" s="62">
        <f>AVERAGE($K$3:K6)</f>
        <v>3.5039544352934513</v>
      </c>
      <c r="M6" s="41">
        <f>SUM($G$3:G6)/J6</f>
        <v>4</v>
      </c>
    </row>
    <row r="7" spans="1:13" x14ac:dyDescent="0.2">
      <c r="A7" s="6">
        <v>5</v>
      </c>
      <c r="B7" s="66">
        <v>10000</v>
      </c>
      <c r="C7" s="37">
        <f t="shared" si="0"/>
        <v>20921.270472494471</v>
      </c>
      <c r="D7" s="38">
        <f t="shared" si="1"/>
        <v>514.73704080763321</v>
      </c>
      <c r="E7" s="62">
        <f t="shared" ref="E7:E18" si="6">$B$22*(B3/C3)+(1-$B$22)*E3</f>
        <v>0.46540451892327028</v>
      </c>
      <c r="F7" s="38">
        <f t="shared" si="4"/>
        <v>9723.00402054201</v>
      </c>
      <c r="G7" s="38">
        <f t="shared" si="2"/>
        <v>-276.99597945798996</v>
      </c>
      <c r="H7" s="38">
        <f t="shared" si="3"/>
        <v>276.99597945798996</v>
      </c>
      <c r="I7" s="38">
        <f>SUMSQ($G$3:G7)/A7</f>
        <v>202036.20643767802</v>
      </c>
      <c r="J7" s="40">
        <f>SUM($H$3:H7)/A7</f>
        <v>332.75873556606058</v>
      </c>
      <c r="K7" s="38">
        <f t="shared" si="5"/>
        <v>2.7699597945798997</v>
      </c>
      <c r="L7" s="62">
        <f>AVERAGE($K$3:K7)</f>
        <v>3.3571555071507411</v>
      </c>
      <c r="M7" s="41">
        <f>SUM($G$3:G7)/J7</f>
        <v>3.3351542733398825</v>
      </c>
    </row>
    <row r="8" spans="1:13" x14ac:dyDescent="0.2">
      <c r="A8" s="6">
        <v>6</v>
      </c>
      <c r="B8" s="66">
        <v>18000</v>
      </c>
      <c r="C8" s="37">
        <f t="shared" si="0"/>
        <v>21689.443332439725</v>
      </c>
      <c r="D8" s="38">
        <f t="shared" si="1"/>
        <v>540.08062272139534</v>
      </c>
      <c r="E8" s="62">
        <f t="shared" si="6"/>
        <v>0.6791242221798619</v>
      </c>
      <c r="F8" s="38">
        <f t="shared" si="4"/>
        <v>14557.711929112967</v>
      </c>
      <c r="G8" s="38">
        <f t="shared" si="2"/>
        <v>-3442.2880708870325</v>
      </c>
      <c r="H8" s="38">
        <f t="shared" si="3"/>
        <v>3442.2880708870325</v>
      </c>
      <c r="I8" s="38">
        <f>SUMSQ($G$3:G8)/A8</f>
        <v>2143254.6991932592</v>
      </c>
      <c r="J8" s="40">
        <f>SUM($H$3:H8)/A8</f>
        <v>851.01362478622252</v>
      </c>
      <c r="K8" s="38">
        <f t="shared" si="5"/>
        <v>19.123822616039071</v>
      </c>
      <c r="L8" s="62">
        <f>AVERAGE($K$3:K8)</f>
        <v>5.9849333586321292</v>
      </c>
      <c r="M8" s="41">
        <f>SUM($G$3:G8)/J8</f>
        <v>-2.740833147716804</v>
      </c>
    </row>
    <row r="9" spans="1:13" x14ac:dyDescent="0.2">
      <c r="A9" s="6">
        <v>7</v>
      </c>
      <c r="B9" s="66">
        <v>23000</v>
      </c>
      <c r="C9" s="37">
        <f t="shared" si="0"/>
        <v>22101.997858800012</v>
      </c>
      <c r="D9" s="38">
        <f t="shared" si="1"/>
        <v>527.32801308528451</v>
      </c>
      <c r="E9" s="62">
        <f t="shared" si="6"/>
        <v>1.1687584546892211</v>
      </c>
      <c r="F9" s="38">
        <f t="shared" si="4"/>
        <v>25980.944066311135</v>
      </c>
      <c r="G9" s="38">
        <f t="shared" si="2"/>
        <v>2980.9440663111345</v>
      </c>
      <c r="H9" s="38">
        <f t="shared" si="3"/>
        <v>2980.9440663111345</v>
      </c>
      <c r="I9" s="38">
        <f>SUMSQ($G$3:G9)/A9</f>
        <v>3106507.9602335882</v>
      </c>
      <c r="J9" s="40">
        <f>SUM($H$3:H9)/A9</f>
        <v>1155.2894021469242</v>
      </c>
      <c r="K9" s="38">
        <f t="shared" si="5"/>
        <v>12.960626375265802</v>
      </c>
      <c r="L9" s="62">
        <f>AVERAGE($K$3:K9)</f>
        <v>6.9814609324369394</v>
      </c>
      <c r="M9" s="41">
        <f>SUM($G$3:G9)/J9</f>
        <v>0.56129460993355251</v>
      </c>
    </row>
    <row r="10" spans="1:13" x14ac:dyDescent="0.2">
      <c r="A10" s="6">
        <v>8</v>
      </c>
      <c r="B10" s="66">
        <v>38000</v>
      </c>
      <c r="C10" s="37">
        <f t="shared" si="0"/>
        <v>22635.698412659141</v>
      </c>
      <c r="D10" s="38">
        <f t="shared" si="1"/>
        <v>527.96526716266897</v>
      </c>
      <c r="E10" s="62">
        <f t="shared" si="6"/>
        <v>1.6698322667595946</v>
      </c>
      <c r="F10" s="38">
        <f t="shared" si="4"/>
        <v>37787.178515891763</v>
      </c>
      <c r="G10" s="38">
        <f t="shared" si="2"/>
        <v>-212.8214841082372</v>
      </c>
      <c r="H10" s="38">
        <f t="shared" si="3"/>
        <v>212.8214841082372</v>
      </c>
      <c r="I10" s="38">
        <f>SUMSQ($G$3:G10)/A10</f>
        <v>2723856.0882166438</v>
      </c>
      <c r="J10" s="40">
        <f>SUM($H$3:H10)/A10</f>
        <v>1037.4809123920884</v>
      </c>
      <c r="K10" s="38">
        <f t="shared" si="5"/>
        <v>0.56005653712694003</v>
      </c>
      <c r="L10" s="62">
        <f>AVERAGE($K$3:K10)</f>
        <v>6.1787853830231896</v>
      </c>
      <c r="M10" s="41">
        <f>SUM($G$3:G10)/J10</f>
        <v>0.41989806754685677</v>
      </c>
    </row>
    <row r="11" spans="1:13" x14ac:dyDescent="0.2">
      <c r="A11" s="6">
        <v>9</v>
      </c>
      <c r="B11" s="66">
        <v>12000</v>
      </c>
      <c r="C11" s="37">
        <f t="shared" si="0"/>
        <v>23291.206780670833</v>
      </c>
      <c r="D11" s="38">
        <f t="shared" si="1"/>
        <v>540.71957724757124</v>
      </c>
      <c r="E11" s="62">
        <f t="shared" si="6"/>
        <v>0.4666623114690483</v>
      </c>
      <c r="F11" s="38">
        <f t="shared" si="4"/>
        <v>10809.608834917286</v>
      </c>
      <c r="G11" s="38">
        <f t="shared" si="2"/>
        <v>-1190.391165082714</v>
      </c>
      <c r="H11" s="38">
        <f t="shared" si="3"/>
        <v>1190.391165082714</v>
      </c>
      <c r="I11" s="38">
        <f>SUMSQ($G$3:G11)/A11</f>
        <v>2578653.3146266812</v>
      </c>
      <c r="J11" s="40">
        <f>SUM($H$3:H11)/A11</f>
        <v>1054.4709404688247</v>
      </c>
      <c r="K11" s="38">
        <f t="shared" si="5"/>
        <v>9.9199263756892826</v>
      </c>
      <c r="L11" s="62">
        <f>AVERAGE($K$3:K11)</f>
        <v>6.5944677155416445</v>
      </c>
      <c r="M11" s="41">
        <f>SUM($G$3:G11)/J11</f>
        <v>-0.71576646248492848</v>
      </c>
    </row>
    <row r="12" spans="1:13" x14ac:dyDescent="0.2">
      <c r="A12" s="6">
        <v>10</v>
      </c>
      <c r="B12" s="66">
        <v>13000</v>
      </c>
      <c r="C12" s="37">
        <f t="shared" si="0"/>
        <v>23576.657629493009</v>
      </c>
      <c r="D12" s="38">
        <f t="shared" si="1"/>
        <v>515.1927044050318</v>
      </c>
      <c r="E12" s="62">
        <f t="shared" si="6"/>
        <v>0.69420148173521279</v>
      </c>
      <c r="F12" s="38">
        <f t="shared" si="4"/>
        <v>16544.158590271429</v>
      </c>
      <c r="G12" s="38">
        <f t="shared" si="2"/>
        <v>3544.1585902714287</v>
      </c>
      <c r="H12" s="38">
        <f t="shared" si="3"/>
        <v>3544.1585902714287</v>
      </c>
      <c r="I12" s="38">
        <f>SUMSQ($G$3:G12)/A12</f>
        <v>3576893.9944634894</v>
      </c>
      <c r="J12" s="40">
        <f>SUM($H$3:H12)/A12</f>
        <v>1303.4397054490851</v>
      </c>
      <c r="K12" s="38">
        <f t="shared" si="5"/>
        <v>27.262758386703297</v>
      </c>
      <c r="L12" s="62">
        <f>AVERAGE($K$3:K12)</f>
        <v>8.6612967826578107</v>
      </c>
      <c r="M12" s="41">
        <f>SUM($G$3:G12)/J12</f>
        <v>2.1400327485480779</v>
      </c>
    </row>
    <row r="13" spans="1:13" x14ac:dyDescent="0.2">
      <c r="A13" s="6">
        <v>11</v>
      </c>
      <c r="B13" s="66">
        <v>32000</v>
      </c>
      <c r="C13" s="37">
        <f t="shared" si="0"/>
        <v>24271.405998537972</v>
      </c>
      <c r="D13" s="38">
        <f t="shared" si="1"/>
        <v>533.14827086902483</v>
      </c>
      <c r="E13" s="62">
        <f t="shared" si="6"/>
        <v>1.1559456000274511</v>
      </c>
      <c r="F13" s="38">
        <f t="shared" si="4"/>
        <v>27848.868389989319</v>
      </c>
      <c r="G13" s="38">
        <f t="shared" si="2"/>
        <v>-4151.1316100106815</v>
      </c>
      <c r="H13" s="38">
        <f t="shared" si="3"/>
        <v>4151.1316100106815</v>
      </c>
      <c r="I13" s="38">
        <f>SUMSQ($G$3:G13)/A13</f>
        <v>4818257.5989331603</v>
      </c>
      <c r="J13" s="40">
        <f>SUM($H$3:H13)/A13</f>
        <v>1562.3207876819572</v>
      </c>
      <c r="K13" s="38">
        <f t="shared" si="5"/>
        <v>12.972286281283379</v>
      </c>
      <c r="L13" s="62">
        <f>AVERAGE($K$3:K13)</f>
        <v>9.0532049188964976</v>
      </c>
      <c r="M13" s="41">
        <f>SUM($G$3:G13)/J13</f>
        <v>-0.8716058605430187</v>
      </c>
    </row>
    <row r="14" spans="1:13" ht="13.5" thickBot="1" x14ac:dyDescent="0.25">
      <c r="A14" s="6">
        <v>12</v>
      </c>
      <c r="B14" s="17">
        <v>41000</v>
      </c>
      <c r="C14" s="52">
        <f t="shared" si="0"/>
        <v>24791.338443719171</v>
      </c>
      <c r="D14" s="53">
        <f t="shared" si="1"/>
        <v>531.82668830024227</v>
      </c>
      <c r="E14" s="63">
        <f t="shared" si="6"/>
        <v>1.6707254594776499</v>
      </c>
      <c r="F14" s="53">
        <f t="shared" si="4"/>
        <v>41441.600328893306</v>
      </c>
      <c r="G14" s="53">
        <f t="shared" si="2"/>
        <v>441.60032889330614</v>
      </c>
      <c r="H14" s="53">
        <f t="shared" si="3"/>
        <v>441.60032889330614</v>
      </c>
      <c r="I14" s="53">
        <f>SUMSQ($G$3:G14)/A14</f>
        <v>4432987.0365619538</v>
      </c>
      <c r="J14" s="54">
        <f>SUM($H$3:H14)/A14</f>
        <v>1468.9274161162364</v>
      </c>
      <c r="K14" s="53">
        <f t="shared" si="5"/>
        <v>1.0770739729105028</v>
      </c>
      <c r="L14" s="63">
        <f>AVERAGE($K$3:K14)</f>
        <v>8.3885273400643303</v>
      </c>
      <c r="M14" s="55">
        <f>SUM($G$3:G14)/J14</f>
        <v>-0.62639420818439073</v>
      </c>
    </row>
    <row r="15" spans="1:13" x14ac:dyDescent="0.2">
      <c r="A15" s="6">
        <v>13</v>
      </c>
      <c r="B15" s="27"/>
      <c r="C15" s="18"/>
      <c r="D15" s="18"/>
      <c r="E15" s="64">
        <f t="shared" si="6"/>
        <v>0.47151767004912448</v>
      </c>
      <c r="F15" s="15">
        <f>($C$14+$D$14)*E15</f>
        <v>11940.319821319024</v>
      </c>
      <c r="G15" s="18"/>
      <c r="H15" s="18"/>
      <c r="I15" s="18"/>
      <c r="J15" s="18"/>
      <c r="K15" s="18"/>
      <c r="L15" s="18"/>
      <c r="M15" s="24"/>
    </row>
    <row r="16" spans="1:13" x14ac:dyDescent="0.2">
      <c r="A16" s="6">
        <v>14</v>
      </c>
      <c r="B16" s="27"/>
      <c r="C16" s="18"/>
      <c r="D16" s="18"/>
      <c r="E16" s="64">
        <f t="shared" si="6"/>
        <v>0.67992061667931958</v>
      </c>
      <c r="F16" s="15">
        <f>E16*($C$14+2*$D$14)</f>
        <v>17579.341982710503</v>
      </c>
      <c r="G16" s="18"/>
      <c r="H16" s="18"/>
      <c r="I16" s="18"/>
      <c r="J16" s="18"/>
      <c r="K16" s="18"/>
      <c r="L16" s="18"/>
      <c r="M16" s="24"/>
    </row>
    <row r="17" spans="1:13" x14ac:dyDescent="0.2">
      <c r="A17" s="6">
        <v>15</v>
      </c>
      <c r="B17" s="27"/>
      <c r="C17" s="18"/>
      <c r="D17" s="18"/>
      <c r="E17" s="64">
        <f t="shared" si="6"/>
        <v>1.172193422793663</v>
      </c>
      <c r="F17" s="15">
        <f>E17*($C$14+3*$D$14)</f>
        <v>30930.455104254335</v>
      </c>
      <c r="G17" s="18"/>
      <c r="H17" s="18"/>
      <c r="I17" s="18"/>
      <c r="J17" s="18"/>
      <c r="K17" s="18"/>
      <c r="L17" s="18"/>
      <c r="M17" s="24"/>
    </row>
    <row r="18" spans="1:13" ht="13.5" thickBot="1" x14ac:dyDescent="0.25">
      <c r="A18" s="8">
        <v>16</v>
      </c>
      <c r="B18" s="57"/>
      <c r="C18" s="58"/>
      <c r="D18" s="58"/>
      <c r="E18" s="65">
        <f t="shared" si="6"/>
        <v>1.6690332543012292</v>
      </c>
      <c r="F18" s="59">
        <f>E18*($C$14+4*$D$14)</f>
        <v>44928.113994395775</v>
      </c>
      <c r="G18" s="58"/>
      <c r="H18" s="58"/>
      <c r="I18" s="58"/>
      <c r="J18" s="58"/>
      <c r="K18" s="58"/>
      <c r="L18" s="58"/>
      <c r="M18" s="60"/>
    </row>
    <row r="19" spans="1:13" ht="13.5" thickBot="1" x14ac:dyDescent="0.25"/>
    <row r="20" spans="1:13" ht="15.75" x14ac:dyDescent="0.25">
      <c r="A20" s="85" t="s">
        <v>46</v>
      </c>
      <c r="B20" s="61">
        <v>0.05</v>
      </c>
      <c r="D20" s="1"/>
      <c r="E20" s="1"/>
      <c r="F20" s="2"/>
    </row>
    <row r="21" spans="1:13" ht="16.5" thickBot="1" x14ac:dyDescent="0.3">
      <c r="A21" s="86" t="s">
        <v>47</v>
      </c>
      <c r="B21" s="68">
        <v>0.1</v>
      </c>
      <c r="D21" s="1"/>
      <c r="E21" s="1"/>
      <c r="F21" s="2"/>
    </row>
    <row r="22" spans="1:13" ht="16.5" thickBot="1" x14ac:dyDescent="0.3">
      <c r="A22" s="87" t="s">
        <v>48</v>
      </c>
      <c r="B22" s="69">
        <v>0.1</v>
      </c>
      <c r="C22" s="1"/>
      <c r="D22" s="1"/>
      <c r="E22" s="1"/>
      <c r="F22" s="2"/>
    </row>
    <row r="23" spans="1:13" x14ac:dyDescent="0.2">
      <c r="C23" s="1"/>
      <c r="D23" s="1"/>
      <c r="E23" s="1"/>
      <c r="F23" s="2"/>
    </row>
    <row r="24" spans="1:13" x14ac:dyDescent="0.2">
      <c r="C24" s="1"/>
      <c r="D24" s="1"/>
      <c r="E24" s="1"/>
      <c r="F24" s="2"/>
    </row>
    <row r="25" spans="1:13" x14ac:dyDescent="0.2">
      <c r="C25" s="1"/>
      <c r="D25" s="1"/>
      <c r="E25" s="1"/>
      <c r="F25" s="2"/>
    </row>
    <row r="26" spans="1:13" x14ac:dyDescent="0.2">
      <c r="C26" s="1"/>
      <c r="D26" s="1"/>
      <c r="E26" s="1"/>
      <c r="F26" s="2"/>
    </row>
    <row r="27" spans="1:13" x14ac:dyDescent="0.2">
      <c r="C27" s="1"/>
      <c r="D27" s="1"/>
      <c r="E27" s="1"/>
      <c r="F27" s="2"/>
    </row>
    <row r="28" spans="1:13" x14ac:dyDescent="0.2">
      <c r="C28" s="1"/>
      <c r="D28" s="1"/>
      <c r="E28" s="1"/>
      <c r="F28" s="2"/>
    </row>
    <row r="29" spans="1:13" x14ac:dyDescent="0.2">
      <c r="C29" s="1"/>
      <c r="D29" s="1"/>
      <c r="E29" s="1"/>
      <c r="F29" s="2"/>
    </row>
    <row r="30" spans="1:13" x14ac:dyDescent="0.2">
      <c r="C30" s="1"/>
      <c r="D30" s="1"/>
      <c r="E30" s="1"/>
      <c r="F30" s="2"/>
    </row>
    <row r="31" spans="1:13" x14ac:dyDescent="0.2">
      <c r="C31" s="1"/>
      <c r="D31" s="1"/>
      <c r="E31" s="1"/>
      <c r="F31" s="2"/>
    </row>
    <row r="32" spans="1:13" x14ac:dyDescent="0.2">
      <c r="B32" s="1"/>
      <c r="C32" s="1"/>
      <c r="D32" s="1"/>
      <c r="E32" s="1"/>
    </row>
    <row r="35" spans="1:8" ht="15.75" x14ac:dyDescent="0.25">
      <c r="A35" s="29" t="s">
        <v>58</v>
      </c>
      <c r="H35" s="94"/>
    </row>
    <row r="36" spans="1:8" x14ac:dyDescent="0.2">
      <c r="C36" s="1"/>
      <c r="D36" s="1"/>
      <c r="E36" s="1"/>
    </row>
    <row r="37" spans="1:8" x14ac:dyDescent="0.2">
      <c r="C37" s="1"/>
      <c r="D37" s="1"/>
      <c r="E37" s="1"/>
    </row>
    <row r="38" spans="1:8" x14ac:dyDescent="0.2">
      <c r="C38" s="1"/>
      <c r="D38" s="1"/>
      <c r="E38" s="1"/>
    </row>
    <row r="39" spans="1:8" x14ac:dyDescent="0.2">
      <c r="C39" s="1"/>
      <c r="D39" s="1"/>
      <c r="E39" s="1"/>
    </row>
  </sheetData>
  <phoneticPr fontId="0" type="noConversion"/>
  <pageMargins left="0.75" right="0.75" top="1" bottom="1" header="0.5" footer="0.5"/>
  <pageSetup scale="87" orientation="landscape" horizontalDpi="4294967292" verticalDpi="300" r:id="rId1"/>
  <headerFooter alignWithMargins="0">
    <oddHeader>&amp;C&amp;A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8"/>
  <sheetViews>
    <sheetView tabSelected="1" workbookViewId="0">
      <selection activeCell="A8" sqref="A8"/>
    </sheetView>
  </sheetViews>
  <sheetFormatPr defaultRowHeight="12.75" x14ac:dyDescent="0.2"/>
  <cols>
    <col min="1" max="1" width="26.28515625" customWidth="1"/>
  </cols>
  <sheetData>
    <row r="1" spans="1:5" x14ac:dyDescent="0.2">
      <c r="A1" s="3" t="s">
        <v>45</v>
      </c>
    </row>
    <row r="2" spans="1:5" ht="13.5" thickBot="1" x14ac:dyDescent="0.25"/>
    <row r="3" spans="1:5" x14ac:dyDescent="0.2">
      <c r="A3" s="104" t="s">
        <v>25</v>
      </c>
      <c r="B3" s="102" t="s">
        <v>26</v>
      </c>
      <c r="C3" s="100" t="s">
        <v>27</v>
      </c>
      <c r="D3" s="98" t="s">
        <v>28</v>
      </c>
      <c r="E3" s="99"/>
    </row>
    <row r="4" spans="1:5" ht="13.5" thickBot="1" x14ac:dyDescent="0.25">
      <c r="A4" s="105"/>
      <c r="B4" s="103"/>
      <c r="C4" s="101"/>
      <c r="D4" s="79" t="s">
        <v>29</v>
      </c>
      <c r="E4" s="80" t="s">
        <v>30</v>
      </c>
    </row>
    <row r="5" spans="1:5" x14ac:dyDescent="0.2">
      <c r="A5" s="77" t="s">
        <v>31</v>
      </c>
      <c r="B5" s="17">
        <f>'Figure 7-7'!H13</f>
        <v>9718.75</v>
      </c>
      <c r="C5" s="78">
        <f>'Figure 7-7'!J13</f>
        <v>49.137636441260007</v>
      </c>
      <c r="D5" s="76">
        <f>MIN('Figure 7-7'!$K$6:$K$13)</f>
        <v>-1.517684887459807</v>
      </c>
      <c r="E5" s="22">
        <f>MAX('Figure 7-7'!K6:K13)</f>
        <v>2.2075471698113205</v>
      </c>
    </row>
    <row r="6" spans="1:5" x14ac:dyDescent="0.2">
      <c r="A6" s="70" t="s">
        <v>32</v>
      </c>
      <c r="B6" s="15">
        <f>'Figure 7-8'!H14</f>
        <v>10208.443439311735</v>
      </c>
      <c r="C6" s="74">
        <f>'Figure 7-8'!J14</f>
        <v>59.07905056767239</v>
      </c>
      <c r="D6" s="64">
        <f>MIN('Figure 7-8'!K3:K14)</f>
        <v>-1.3779143314254894</v>
      </c>
      <c r="E6" s="23">
        <f>MAX('Figure 7-8'!K3:K14)</f>
        <v>2.2533449582508966</v>
      </c>
    </row>
    <row r="7" spans="1:5" x14ac:dyDescent="0.2">
      <c r="A7" s="70" t="s">
        <v>33</v>
      </c>
      <c r="B7" s="15">
        <f>'Figure 7-9'!I14</f>
        <v>8835.8443108352349</v>
      </c>
      <c r="C7" s="74">
        <f>'Figure 7-9'!K14</f>
        <v>51.678403538498316</v>
      </c>
      <c r="D7" s="64">
        <f>MIN('Figure 7-9'!L3:L14)</f>
        <v>-2.1497486500911616</v>
      </c>
      <c r="E7" s="23">
        <f>MAX('Figure 7-9'!L3:L14)</f>
        <v>2</v>
      </c>
    </row>
    <row r="8" spans="1:5" ht="13.5" thickBot="1" x14ac:dyDescent="0.25">
      <c r="A8" s="71" t="s">
        <v>34</v>
      </c>
      <c r="B8" s="16">
        <f>'Figure 7-10'!J14</f>
        <v>1468.9274161162364</v>
      </c>
      <c r="C8" s="75">
        <f>'Figure 7-10'!L14</f>
        <v>8.3885273400643303</v>
      </c>
      <c r="D8" s="72">
        <f>MIN('Figure 7-10'!M3:M14)</f>
        <v>-2.740833147716804</v>
      </c>
      <c r="E8" s="73">
        <f>MAX('Figure 7-10'!M3:M14)</f>
        <v>4</v>
      </c>
    </row>
  </sheetData>
  <mergeCells count="4">
    <mergeCell ref="D3:E3"/>
    <mergeCell ref="C3:C4"/>
    <mergeCell ref="B3:B4"/>
    <mergeCell ref="A3:A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7.1</vt:lpstr>
      <vt:lpstr>Figure 7-7</vt:lpstr>
      <vt:lpstr>Figure 7-8</vt:lpstr>
      <vt:lpstr>Figure 7-9</vt:lpstr>
      <vt:lpstr>Figure 7-10</vt:lpstr>
      <vt:lpstr>Table 7-2</vt:lpstr>
      <vt:lpstr>'Figure 7-10'!Print_Area</vt:lpstr>
      <vt:lpstr>'Figure 7-9'!Print_Area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Tahoe Salt</dc:title>
  <dc:subject>Supply Chain Management - 6th Edition</dc:subject>
  <dc:creator>Chopra/Mabe</dc:creator>
  <cp:lastModifiedBy>NESİM ERKİP</cp:lastModifiedBy>
  <cp:lastPrinted>2001-09-14T15:50:25Z</cp:lastPrinted>
  <dcterms:created xsi:type="dcterms:W3CDTF">1998-03-03T19:47:06Z</dcterms:created>
  <dcterms:modified xsi:type="dcterms:W3CDTF">2024-02-02T12:25:00Z</dcterms:modified>
</cp:coreProperties>
</file>