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kademik\MS\1.2\IE 460\Assignments\HWKs\HWK 4\"/>
    </mc:Choice>
  </mc:AlternateContent>
  <xr:revisionPtr revIDLastSave="0" documentId="13_ncr:1_{60C07C53-B9F1-4650-9240-FB59963AD0A1}" xr6:coauthVersionLast="43" xr6:coauthVersionMax="43" xr10:uidLastSave="{00000000-0000-0000-0000-000000000000}"/>
  <bookViews>
    <workbookView xWindow="-108" yWindow="-108" windowWidth="23256" windowHeight="12576" xr2:uid="{7514F5A5-3AC8-4344-825C-DEA5B3D531AF}"/>
  </bookViews>
  <sheets>
    <sheet name="Sheet1" sheetId="1" r:id="rId1"/>
  </sheets>
  <definedNames>
    <definedName name="D_A">Sheet1!$C$7</definedName>
    <definedName name="D_E">Sheet1!$C$8</definedName>
    <definedName name="EskAnk">Sheet1!$C$13</definedName>
    <definedName name="fr">Sheet1!$C$156</definedName>
    <definedName name="H">Sheet1!$C$9</definedName>
    <definedName name="h_Milkrun">Sheet1!$C$19</definedName>
    <definedName name="h_RDC">Sheet1!$C$18</definedName>
    <definedName name="IstAnk">Sheet1!$C$11</definedName>
    <definedName name="IstEsk">Sheet1!$C$12</definedName>
    <definedName name="L">Sheet1!$C$155</definedName>
    <definedName name="Sigma_A">Sheet1!$C$153</definedName>
    <definedName name="Sigma_B">Sheet1!$C$154</definedName>
    <definedName name="Sigma_E">Sheet1!$C$154</definedName>
    <definedName name="TruckCap">Sheet1!$C$15</definedName>
    <definedName name="TruckCost">Sheet1!$C$16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73" i="1" l="1"/>
  <c r="C274" i="1" s="1"/>
  <c r="C269" i="1"/>
  <c r="C268" i="1"/>
  <c r="C267" i="1"/>
  <c r="C266" i="1"/>
  <c r="C270" i="1" s="1"/>
  <c r="C271" i="1" s="1"/>
  <c r="C275" i="1" l="1"/>
  <c r="C261" i="1"/>
  <c r="C262" i="1" s="1"/>
  <c r="C257" i="1"/>
  <c r="C256" i="1"/>
  <c r="C255" i="1"/>
  <c r="C254" i="1"/>
  <c r="C258" i="1" s="1"/>
  <c r="C259" i="1" s="1"/>
  <c r="C249" i="1"/>
  <c r="C194" i="1"/>
  <c r="C263" i="1" l="1"/>
  <c r="C250" i="1"/>
  <c r="C245" i="1"/>
  <c r="C244" i="1"/>
  <c r="C243" i="1"/>
  <c r="C242" i="1"/>
  <c r="C246" i="1" s="1"/>
  <c r="C247" i="1" s="1"/>
  <c r="C237" i="1"/>
  <c r="C238" i="1" s="1"/>
  <c r="C233" i="1"/>
  <c r="C232" i="1"/>
  <c r="C231" i="1"/>
  <c r="C230" i="1"/>
  <c r="C234" i="1" s="1"/>
  <c r="C235" i="1" s="1"/>
  <c r="C225" i="1"/>
  <c r="C226" i="1" s="1"/>
  <c r="C221" i="1"/>
  <c r="C220" i="1"/>
  <c r="C206" i="1"/>
  <c r="C219" i="1"/>
  <c r="C218" i="1"/>
  <c r="C222" i="1" s="1"/>
  <c r="C223" i="1" s="1"/>
  <c r="C211" i="1"/>
  <c r="C212" i="1" s="1"/>
  <c r="C207" i="1"/>
  <c r="C205" i="1"/>
  <c r="C204" i="1"/>
  <c r="C208" i="1" s="1"/>
  <c r="C209" i="1" s="1"/>
  <c r="C199" i="1"/>
  <c r="C200" i="1" s="1"/>
  <c r="C193" i="1"/>
  <c r="C195" i="1"/>
  <c r="C192" i="1"/>
  <c r="C196" i="1" s="1"/>
  <c r="C197" i="1" s="1"/>
  <c r="C201" i="1" l="1"/>
  <c r="C251" i="1"/>
  <c r="C239" i="1"/>
  <c r="C213" i="1"/>
  <c r="C227" i="1"/>
  <c r="C139" i="1"/>
  <c r="C133" i="1"/>
  <c r="C138" i="1" s="1"/>
  <c r="C127" i="1"/>
  <c r="C140" i="1" l="1"/>
  <c r="C134" i="1"/>
  <c r="C120" i="1"/>
  <c r="C124" i="1"/>
  <c r="C113" i="1"/>
  <c r="C98" i="1"/>
  <c r="C97" i="1"/>
  <c r="C87" i="1"/>
  <c r="C86" i="1"/>
  <c r="C85" i="1"/>
  <c r="C81" i="1"/>
  <c r="C80" i="1"/>
  <c r="C79" i="1"/>
  <c r="C75" i="1"/>
  <c r="C74" i="1"/>
  <c r="C73" i="1"/>
  <c r="C68" i="1"/>
  <c r="C67" i="1"/>
  <c r="C66" i="1"/>
  <c r="C62" i="1"/>
  <c r="C61" i="1"/>
  <c r="C60" i="1"/>
  <c r="C55" i="1"/>
  <c r="C54" i="1"/>
  <c r="C53" i="1"/>
  <c r="C49" i="1"/>
  <c r="C48" i="1"/>
  <c r="C47" i="1"/>
  <c r="C114" i="1" l="1"/>
  <c r="C119" i="1"/>
  <c r="C121" i="1" s="1"/>
  <c r="C125" i="1"/>
  <c r="C126" i="1" s="1"/>
  <c r="C128" i="1" s="1"/>
  <c r="C99" i="1"/>
  <c r="C103" i="1" s="1"/>
  <c r="C82" i="1"/>
  <c r="C56" i="1"/>
  <c r="C76" i="1"/>
  <c r="C69" i="1"/>
  <c r="C88" i="1"/>
  <c r="C63" i="1"/>
  <c r="C50" i="1"/>
  <c r="C130" i="1" l="1"/>
  <c r="C102" i="1"/>
</calcChain>
</file>

<file path=xl/sharedStrings.xml><?xml version="1.0" encoding="utf-8"?>
<sst xmlns="http://schemas.openxmlformats.org/spreadsheetml/2006/main" count="560" uniqueCount="241">
  <si>
    <t>D_A</t>
  </si>
  <si>
    <t>Parameter</t>
  </si>
  <si>
    <t>Value</t>
  </si>
  <si>
    <t>Unit</t>
  </si>
  <si>
    <t>Daily demand in Ankara</t>
  </si>
  <si>
    <t>Daily demand in Eskisehir</t>
  </si>
  <si>
    <t>Holding cost</t>
  </si>
  <si>
    <t>piece/day</t>
  </si>
  <si>
    <t>TL/piece/day</t>
  </si>
  <si>
    <t>Istanbul-Ankara</t>
  </si>
  <si>
    <t>km</t>
  </si>
  <si>
    <t>Istanbul-Eskisehir</t>
  </si>
  <si>
    <t>Eskisehir-Ankara</t>
  </si>
  <si>
    <t>Truck Capacity</t>
  </si>
  <si>
    <t>piece</t>
  </si>
  <si>
    <t>Truck cost</t>
  </si>
  <si>
    <t>TL/km</t>
  </si>
  <si>
    <t>Assumption: Truck costs are linear</t>
  </si>
  <si>
    <t>Material handling cost at RDC</t>
  </si>
  <si>
    <t>TL/piece</t>
  </si>
  <si>
    <t>Material handling cost with milkrun</t>
  </si>
  <si>
    <t>Alternative 1</t>
  </si>
  <si>
    <t>Alternative 2</t>
  </si>
  <si>
    <t>Daily direct shipment with milkrun strategy</t>
  </si>
  <si>
    <t>Assumption: Milkrun strategy cannot be used in RDC Operations</t>
  </si>
  <si>
    <t>Assumption: The number of trucks owned by Arcelik is unlimited.</t>
  </si>
  <si>
    <t>and hold one truckload of item as inventory.</t>
  </si>
  <si>
    <r>
      <rPr>
        <u/>
        <sz val="11"/>
        <color theme="1"/>
        <rFont val="Times New Roman"/>
        <family val="1"/>
      </rPr>
      <t>Observation 1:</t>
    </r>
    <r>
      <rPr>
        <sz val="11"/>
        <color theme="1"/>
        <rFont val="Times New Roman"/>
        <family val="1"/>
      </rPr>
      <t xml:space="preserve"> Truck capacity is more than weekly demand, so it is not optimal send two trucks in a day</t>
    </r>
  </si>
  <si>
    <r>
      <rPr>
        <u/>
        <sz val="11"/>
        <color theme="1"/>
        <rFont val="Times New Roman"/>
        <family val="1"/>
      </rPr>
      <t>Observation 2:</t>
    </r>
    <r>
      <rPr>
        <sz val="11"/>
        <color theme="1"/>
        <rFont val="Times New Roman"/>
        <family val="1"/>
      </rPr>
      <t xml:space="preserve"> We have additional assumption that time between two consecutive shipments are days,</t>
    </r>
  </si>
  <si>
    <t>Let Q_A and Q_E be optimal order quantities for Ankara and Eskisehir.</t>
  </si>
  <si>
    <t>Cost Factors are:</t>
  </si>
  <si>
    <t>Inventory holding costs (Cycle inventory only)</t>
  </si>
  <si>
    <t>Transportation cost</t>
  </si>
  <si>
    <t>Handling cost</t>
  </si>
  <si>
    <t>Q_A can take values in {50,100}</t>
  </si>
  <si>
    <t>Q_E can take values in {20,40,60,80,100}</t>
  </si>
  <si>
    <t>Alternative 1 - Ankara</t>
  </si>
  <si>
    <t>TL/day</t>
  </si>
  <si>
    <t>Transportation cost=</t>
  </si>
  <si>
    <t>Holding cost=</t>
  </si>
  <si>
    <t xml:space="preserve">Case 1: Q_A = </t>
  </si>
  <si>
    <t>Handling Cost=</t>
  </si>
  <si>
    <t>Total Cost=</t>
  </si>
  <si>
    <t xml:space="preserve">Case 2: Q_A = </t>
  </si>
  <si>
    <t>Explanation</t>
  </si>
  <si>
    <t>Cost Component</t>
  </si>
  <si>
    <t>Total</t>
  </si>
  <si>
    <t>Notation</t>
  </si>
  <si>
    <t>D_E</t>
  </si>
  <si>
    <t>H</t>
  </si>
  <si>
    <t>IstAnk</t>
  </si>
  <si>
    <t>IstEsk</t>
  </si>
  <si>
    <t>EskAnk</t>
  </si>
  <si>
    <t>TruckCap</t>
  </si>
  <si>
    <t>TruckCost</t>
  </si>
  <si>
    <t>h_RDC</t>
  </si>
  <si>
    <t>h_Milkrun</t>
  </si>
  <si>
    <t>Alternative 1 - Eskisehir</t>
  </si>
  <si>
    <t xml:space="preserve">Case 1: Q_E = </t>
  </si>
  <si>
    <t>Case 2: Q_E =</t>
  </si>
  <si>
    <t xml:space="preserve">Case 3: Q_E = </t>
  </si>
  <si>
    <t xml:space="preserve">Case 4: Q_E = </t>
  </si>
  <si>
    <t xml:space="preserve">Case 5: Q_E = </t>
  </si>
  <si>
    <t>Q=</t>
  </si>
  <si>
    <t>(50 for Ankara, 20 for eskisehir)</t>
  </si>
  <si>
    <t>Transportation Cost=</t>
  </si>
  <si>
    <t>(IstAnk+EskAnk+IstEsk)*TruckCost</t>
  </si>
  <si>
    <t>Q*h_Milkrun</t>
  </si>
  <si>
    <t>Transportation Cost + Handling Cost</t>
  </si>
  <si>
    <t>Total cost of alternative 1=</t>
  </si>
  <si>
    <t>Total cost of alternative 2=</t>
  </si>
  <si>
    <t>360+650</t>
  </si>
  <si>
    <t xml:space="preserve">Transportation cost = </t>
  </si>
  <si>
    <t>(IstAnk+IstAnk)*TruckCost</t>
  </si>
  <si>
    <t xml:space="preserve">Q_A = </t>
  </si>
  <si>
    <t>141&gt;100, then using one full truck is the best decision because truck capacity is more than daily demand</t>
  </si>
  <si>
    <t>Q_E=</t>
  </si>
  <si>
    <t>IstEsk*2*TruckCost</t>
  </si>
  <si>
    <t>SQRT((2*TransportCost*D_A)/H)</t>
  </si>
  <si>
    <t>SQRT(2*TransportCost*D_E/H)</t>
  </si>
  <si>
    <t>TransportCost*D_E/Q_E + H*Q_E/2</t>
  </si>
  <si>
    <t>D_A*h_RDC</t>
  </si>
  <si>
    <t>TL</t>
  </si>
  <si>
    <t xml:space="preserve">Handling cost = </t>
  </si>
  <si>
    <t>D_E*h_RDC</t>
  </si>
  <si>
    <t xml:space="preserve">Total Cost = </t>
  </si>
  <si>
    <t>Total Cost of Alternative 1=</t>
  </si>
  <si>
    <t>(IstAnk+IstEsk+EskAnk)*TruckCost</t>
  </si>
  <si>
    <t>Alternative 2 - Milkrun</t>
  </si>
  <si>
    <t>Q =</t>
  </si>
  <si>
    <t>SQRT(2*TransCost*(D_A+D_E)/H)</t>
  </si>
  <si>
    <t>Trans + Holding Cost (Q_E)=</t>
  </si>
  <si>
    <t>Trans + Holding Cost with full truck</t>
  </si>
  <si>
    <t xml:space="preserve">Trans + Holding w/ Full Truck = </t>
  </si>
  <si>
    <t>TransC*(D_A+D_E)/100 + H*100/2</t>
  </si>
  <si>
    <t xml:space="preserve">Handling Cost = </t>
  </si>
  <si>
    <t>(D_A+D_E) * h_Milkrun</t>
  </si>
  <si>
    <t xml:space="preserve">Total cost = </t>
  </si>
  <si>
    <t>Cost Components are:</t>
  </si>
  <si>
    <t xml:space="preserve">Transportation + Holding + Handling Costs </t>
  </si>
  <si>
    <t>Cost factors are:</t>
  </si>
  <si>
    <t>Transportation Costs</t>
  </si>
  <si>
    <t>Handling Costs</t>
  </si>
  <si>
    <t>PART A (a) (i)</t>
  </si>
  <si>
    <t>PART A (a) (ii)</t>
  </si>
  <si>
    <t>PART A (a) (iii)</t>
  </si>
  <si>
    <t>Term</t>
  </si>
  <si>
    <t>Sigma_A</t>
  </si>
  <si>
    <t>Std. dev. of demand in Ankara</t>
  </si>
  <si>
    <t>Std. dev. of demand in Eskisehir</t>
  </si>
  <si>
    <t>Transportation lead time</t>
  </si>
  <si>
    <t>day</t>
  </si>
  <si>
    <t>L</t>
  </si>
  <si>
    <t>Fill rate</t>
  </si>
  <si>
    <t>fr</t>
  </si>
  <si>
    <t>PART A (b) (i)</t>
  </si>
  <si>
    <t>k</t>
  </si>
  <si>
    <t># of days between shipments</t>
  </si>
  <si>
    <t>(km between two cities * 2 * TruckCost)/k</t>
  </si>
  <si>
    <t>Transportation cost (Daily) =</t>
  </si>
  <si>
    <t xml:space="preserve">Holding Cost (daily) = </t>
  </si>
  <si>
    <t>k * D</t>
  </si>
  <si>
    <t>D * h_RDC</t>
  </si>
  <si>
    <t>General formula for RDC Operations:</t>
  </si>
  <si>
    <t>Sigma_E</t>
  </si>
  <si>
    <t>Cost components are:</t>
  </si>
  <si>
    <t>Milkrun strategy gives lower total cost.</t>
  </si>
  <si>
    <t>However, tradeoff is between transportation and holding costs, since handling cost per day is fixed.</t>
  </si>
  <si>
    <t>The table below shows parameters.</t>
  </si>
  <si>
    <t>RDC in Eskisehir and Ankara</t>
  </si>
  <si>
    <t>IE 460 - HWK 4</t>
  </si>
  <si>
    <t>therefore, number of items in a truck should be an integer multiple of daily demand.</t>
  </si>
  <si>
    <t xml:space="preserve"> - Analyzing RDC operations with milkrun strategy.</t>
  </si>
  <si>
    <t>(IstanbulAnkara km*2*Truckcost)/Clength</t>
  </si>
  <si>
    <t>Define Clength as Q_A/D_A or Q_E/D_E, the length of cycle (in days) for a given order level.</t>
  </si>
  <si>
    <t>(Q-D_A)+(Q-2*D_A)/Clength</t>
  </si>
  <si>
    <t>(Q-D_A)/Clength</t>
  </si>
  <si>
    <t>(IstanbulEskisehir km*2*Truckcost)/Clength</t>
  </si>
  <si>
    <t>(IstEsk km*2*Truckcost)/Clength</t>
  </si>
  <si>
    <t>(Q-D_A)+(Q-2*D_A)+(Q-3*D_A)/Clength</t>
  </si>
  <si>
    <t>(Q-D_A)+(Q-2*D_A)+(Q-3*D_A) + (Q-4*D_A)/Clength</t>
  </si>
  <si>
    <t>(Q*handlingCost)/Clength</t>
  </si>
  <si>
    <t>Step 1 : Find target expected shortage per cycle:  ESC = (1-fr)*Q = (1-fr)*k*D</t>
  </si>
  <si>
    <t>Step 2 : Find required safety stock values by trying different values of ss in equation 12.10 (Chopra):</t>
  </si>
  <si>
    <t>Approach 1 : Chopra Equation. 12.10</t>
  </si>
  <si>
    <t>Step 1: Find target expected shortage per cycle : ESC = (1-fr)*Q = (1-fr)*k*D</t>
  </si>
  <si>
    <t>PART A (b) (ii)</t>
  </si>
  <si>
    <t>Case 1: k =</t>
  </si>
  <si>
    <t>ESC =</t>
  </si>
  <si>
    <t xml:space="preserve">L(z) = </t>
  </si>
  <si>
    <t>z=</t>
  </si>
  <si>
    <t>(from table)</t>
  </si>
  <si>
    <t>Piece</t>
  </si>
  <si>
    <t xml:space="preserve">Handling Cost (daily) = </t>
  </si>
  <si>
    <t xml:space="preserve">Transpotation cost (daily) = </t>
  </si>
  <si>
    <t>Piece/day</t>
  </si>
  <si>
    <t xml:space="preserve">ss = </t>
  </si>
  <si>
    <t>Step 3: Find L(z) value : L(z)  = ESC / (sqrt(k+L)*Sigma_A) or L(z) = ESC / (sqrt(k+L)*Sigma_E)</t>
  </si>
  <si>
    <t>Step 4: Find z value using Table A-4</t>
  </si>
  <si>
    <t>Approach 2 : Nahmias page 270 and Table A-4 (when demand is normally distributed)</t>
  </si>
  <si>
    <t xml:space="preserve">Safety stock Cost (daily) = </t>
  </si>
  <si>
    <t>Alternative 2 - Eskisehir</t>
  </si>
  <si>
    <t>(k*D - D + k*D - 2*D + … + k*D-k*D)*H/k</t>
  </si>
  <si>
    <t>(Q-D_A) *H / Clength</t>
  </si>
  <si>
    <t>(Q-D_A)*H+(Q-2*D_A)*H/Clength</t>
  </si>
  <si>
    <t>D * (k-1 + k-2 + … + 1 + 0) * H/k</t>
  </si>
  <si>
    <t>D * (k-1) * k  * H/ (2*k)</t>
  </si>
  <si>
    <t>D * (k-1)  * H/ 2</t>
  </si>
  <si>
    <t>There is only one case under this assumption, the sum of daily demand in Eskisehir and Ankara.</t>
  </si>
  <si>
    <t>Now, we can use EOQ approach.</t>
  </si>
  <si>
    <t>and sending two trucks in a day causes unnecessary inventory holding cost (by Chopra p. 290)</t>
  </si>
  <si>
    <t>TransportCost*D_A/TruckCap + H*TruckCap/2</t>
  </si>
  <si>
    <t>Inventory holding Costs (Cycle + Safety Inventory)</t>
  </si>
  <si>
    <t>Let Q be order size, D be daily demand. For each k in {1,2,…, 100/D}, we need to calculate the followings:</t>
  </si>
  <si>
    <t>Safey Stock : There are two approaches listed below, I will follow the second approach since it is faster to do.</t>
  </si>
  <si>
    <t>Step 2: Find review + lead time standard deviation of demand  = sqrt(k+L)*Sigma_A (or sqrt(k+L) * Sigma_E)</t>
  </si>
  <si>
    <t>Step 5: Find safety stock : ss = z * lead time std. dev.</t>
  </si>
  <si>
    <t>Step 6: Cost of safety stock (daily)  = ss * H</t>
  </si>
  <si>
    <t xml:space="preserve">Safety Stock Cost (daily) = </t>
  </si>
  <si>
    <t>Case 2: k =</t>
  </si>
  <si>
    <t>Case 3: k =</t>
  </si>
  <si>
    <t>Case 4: k =</t>
  </si>
  <si>
    <t>Case 5: k =</t>
  </si>
  <si>
    <t>The lowest cost for Ankara is obtained when k = 2.</t>
  </si>
  <si>
    <t xml:space="preserve">k = 4 or 5 gives very similar results for Eskisehir. Both can be chosen based on other criterias (e.g. lifetime of truck). I chose k = 4 here. </t>
  </si>
  <si>
    <t>We can select alternative 2 (milk run strategy), but further analyses can be:</t>
  </si>
  <si>
    <t>Part B - 1</t>
  </si>
  <si>
    <t>Part B - 2</t>
  </si>
  <si>
    <t>When handling cost = 2.72, we have</t>
  </si>
  <si>
    <t xml:space="preserve">same total cost. For this, I will use Binary Search Algorithm in CS 114: First examine the middle element of the possible values of </t>
  </si>
  <si>
    <t>handling costs, if it matches the target, search is over, if not only half of the values should be examined. Select middle element until the</t>
  </si>
  <si>
    <t xml:space="preserve">search is over. </t>
  </si>
  <si>
    <t>Then using one full truck is the best decision. (by Chopra p. 290)</t>
  </si>
  <si>
    <t xml:space="preserve">Total cost of Alternative 2 = </t>
  </si>
  <si>
    <t>much lower than I expected, when H = 0.53,</t>
  </si>
  <si>
    <t>between safety stock and review period analytically.</t>
  </si>
  <si>
    <t xml:space="preserve">that it is due to increasing Expected Stockout per Cycle. To describe this interesting result, we need to find the relationship </t>
  </si>
  <si>
    <t>Here, there is a very counter-intuitive result. When the review period (k) gets larger, the amount of safety inventory gets lower. I believe</t>
  </si>
  <si>
    <t>Part B - 3</t>
  </si>
  <si>
    <t>I will use the same methodology in Part B-1</t>
  </si>
  <si>
    <t xml:space="preserve">Currently, milk run strategy is a better option. Therefore, lets lower the holding cost until two alternatives yield the same cost. </t>
  </si>
  <si>
    <t xml:space="preserve">The interesting result is: when holding is lowered, both alternative 1 and 2 yields lower costs. Therefore, the break-even point is </t>
  </si>
  <si>
    <t>Currently, milk-run strategy is a better option. Therefore, lets lower the handling cost of RDC until two alternatives yield</t>
  </si>
  <si>
    <t>Current Picture:</t>
  </si>
  <si>
    <t>I will do it for Part A (a) (ii) for simplicity. Currently, milk-run strategy is the better option. We should increase the cost per 100 km so that</t>
  </si>
  <si>
    <t>When Truck capacity is 135 and cost per 100 km is 397 :</t>
  </si>
  <si>
    <t>the effect of holding cost in Alternative 1 diminishes.</t>
  </si>
  <si>
    <t>Part B - 4</t>
  </si>
  <si>
    <t>#I printed line numbers so that if something is wrong in printed page, one can check xls document faster.</t>
  </si>
  <si>
    <t>Part C</t>
  </si>
  <si>
    <t>program the standardized loss function in excel. Please see Nahmias p. 278 for the formulation.</t>
  </si>
  <si>
    <r>
      <rPr>
        <u/>
        <sz val="11"/>
        <color theme="1"/>
        <rFont val="Times New Roman"/>
        <family val="1"/>
      </rPr>
      <t>Question:</t>
    </r>
    <r>
      <rPr>
        <sz val="11"/>
        <color theme="1"/>
        <rFont val="Times New Roman"/>
        <family val="1"/>
      </rPr>
      <t xml:space="preserve"> What can you say about the comparison of results for periodic review and continuous review systems? Why do we have </t>
    </r>
  </si>
  <si>
    <t>differences? Which one should be better?</t>
  </si>
  <si>
    <r>
      <rPr>
        <u/>
        <sz val="11"/>
        <color theme="1"/>
        <rFont val="Times New Roman"/>
        <family val="1"/>
      </rPr>
      <t>Answer:</t>
    </r>
    <r>
      <rPr>
        <sz val="11"/>
        <color theme="1"/>
        <rFont val="Times New Roman"/>
        <family val="1"/>
      </rPr>
      <t xml:space="preserve"> Continous review systems is expected to give better objective function value because continous review system includes all the </t>
    </r>
  </si>
  <si>
    <t>possible review points that any periodic review system can have. More formally, the review points in any periodic system is a subset of the</t>
  </si>
  <si>
    <r>
      <t xml:space="preserve">Question: </t>
    </r>
    <r>
      <rPr>
        <sz val="11"/>
        <color theme="1"/>
        <rFont val="Times New Roman"/>
        <family val="1"/>
      </rPr>
      <t>Which one is more likely to be implemented?</t>
    </r>
  </si>
  <si>
    <t xml:space="preserve"> - Suppliers may also prefer them because they result in replenishment orders placed at regular intervals.</t>
  </si>
  <si>
    <t xml:space="preserve"> - Periodic review policies are simpler to implement because it does not the capability of monitoring inventory continuously. </t>
  </si>
  <si>
    <r>
      <rPr>
        <u/>
        <sz val="11"/>
        <color theme="1"/>
        <rFont val="Times New Roman"/>
        <family val="1"/>
      </rPr>
      <t xml:space="preserve">Answer: </t>
    </r>
    <r>
      <rPr>
        <sz val="11"/>
        <color theme="1"/>
        <rFont val="Times New Roman"/>
        <family val="1"/>
      </rPr>
      <t xml:space="preserve"> From different parts of Chopra: </t>
    </r>
  </si>
  <si>
    <t>More points from Chopra:</t>
  </si>
  <si>
    <t xml:space="preserve"> - Periodic review replenishment policies require more safety inventory than continous review policies for the same lead time and </t>
  </si>
  <si>
    <t>level of product availability.</t>
  </si>
  <si>
    <t>review points in a continuous review system. Therefore, the feasible region (of cycle length) of continuous review system is larger.</t>
  </si>
  <si>
    <t xml:space="preserve"> - However, the broad use of bar codes and POS systems as well as the emergence of RFID technology, continuous tracking of all</t>
  </si>
  <si>
    <t xml:space="preserve">inventories is much more commonplace today than it was a decade ago. </t>
  </si>
  <si>
    <t xml:space="preserve"> - In some instances, companies partition their products based on their value. High-value product are managed using continious review</t>
  </si>
  <si>
    <t>policies, and low-value product are managed using periodic review policies.</t>
  </si>
  <si>
    <t xml:space="preserve"> - There is trade-off between the cost of deploying the technology for continous tracking of inventory and the cost of objective function</t>
  </si>
  <si>
    <t>value.</t>
  </si>
  <si>
    <t>d</t>
  </si>
  <si>
    <t xml:space="preserve">Cycle Inv. Holding Cost (daily) = </t>
  </si>
  <si>
    <t xml:space="preserve">                                                     =</t>
  </si>
  <si>
    <t>I will not write the formulas next to numbers since I wrote a general formula in Part A (b) (i)</t>
  </si>
  <si>
    <t>This analysis is left to you, you need to check the z values from table A-4 for each different service levels. Fortunately, you can</t>
  </si>
  <si>
    <t>My comment from what I learnt from Chopra's comments:</t>
  </si>
  <si>
    <t>Observaton: Number of items in a truck does not change over time because the shipments are daily.</t>
  </si>
  <si>
    <t>We can change the amount of items sent per day over time and create a cycle. For instance, four days can be the cycle length and</t>
  </si>
  <si>
    <t>Computations are left to you, since everyone comes up with a different improvement method.</t>
  </si>
  <si>
    <t xml:space="preserve">the amount of items in each day can be 50+40, 50+40, 100, 0 (no shipment in the fourth day). It becomes a combinatorial problem. </t>
  </si>
  <si>
    <t>Therefore, when handling cost for alternative 1 is larger than 2.72, milk run strategy yields lower total cost.</t>
  </si>
  <si>
    <t xml:space="preserve"> - Analyzing milkrun strategy when amount of item in a truck can be changed over time in a cycle. (Explained later in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</si>
</sst>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/>
    <xf numFmtId="0" fontId="1" fillId="2" borderId="0" xfId="0" quotePrefix="1" applyFont="1" applyFill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0" xfId="0" applyFont="1" applyFill="1" applyBorder="1"/>
    <xf numFmtId="0" fontId="1" fillId="2" borderId="1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quotePrefix="1" applyFont="1" applyFill="1"/>
    <xf numFmtId="0" fontId="1" fillId="2" borderId="13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26923-5498-42AC-9472-C750A78DD571}">
  <dimension ref="A1:I421"/>
  <sheetViews>
    <sheetView tabSelected="1" zoomScale="115" zoomScaleNormal="115" workbookViewId="0"/>
  </sheetViews>
  <sheetFormatPr defaultRowHeight="13.8" x14ac:dyDescent="0.25"/>
  <cols>
    <col min="1" max="1" width="5.6640625" style="25" customWidth="1"/>
    <col min="2" max="2" width="30" style="1" bestFit="1" customWidth="1"/>
    <col min="3" max="3" width="8.88671875" style="1"/>
    <col min="4" max="4" width="11.6640625" style="1" bestFit="1" customWidth="1"/>
    <col min="5" max="7" width="8.88671875" style="2"/>
    <col min="8" max="8" width="25.5546875" style="2" customWidth="1"/>
    <col min="9" max="16384" width="8.88671875" style="2"/>
  </cols>
  <sheetData>
    <row r="1" spans="1:9" x14ac:dyDescent="0.25">
      <c r="A1" s="25">
        <v>1</v>
      </c>
      <c r="B1" s="1" t="s">
        <v>208</v>
      </c>
    </row>
    <row r="2" spans="1:9" ht="14.4" thickBot="1" x14ac:dyDescent="0.3">
      <c r="A2" s="25">
        <v>2</v>
      </c>
    </row>
    <row r="3" spans="1:9" ht="15" customHeight="1" thickBot="1" x14ac:dyDescent="0.3">
      <c r="A3" s="25">
        <v>3</v>
      </c>
      <c r="B3" s="29" t="s">
        <v>130</v>
      </c>
      <c r="C3" s="30"/>
      <c r="D3" s="30"/>
      <c r="E3" s="30"/>
      <c r="F3" s="30"/>
      <c r="G3" s="30"/>
      <c r="H3" s="30"/>
      <c r="I3" s="31"/>
    </row>
    <row r="4" spans="1:9" x14ac:dyDescent="0.25">
      <c r="A4" s="25">
        <v>4</v>
      </c>
    </row>
    <row r="5" spans="1:9" x14ac:dyDescent="0.25">
      <c r="A5" s="25">
        <v>5</v>
      </c>
      <c r="B5" s="1" t="s">
        <v>128</v>
      </c>
    </row>
    <row r="6" spans="1:9" x14ac:dyDescent="0.25">
      <c r="A6" s="25">
        <v>6</v>
      </c>
      <c r="B6" s="22" t="s">
        <v>1</v>
      </c>
      <c r="C6" s="6" t="s">
        <v>2</v>
      </c>
      <c r="D6" s="6" t="s">
        <v>3</v>
      </c>
      <c r="E6" s="7" t="s">
        <v>47</v>
      </c>
    </row>
    <row r="7" spans="1:9" x14ac:dyDescent="0.25">
      <c r="A7" s="25">
        <v>7</v>
      </c>
      <c r="B7" s="23" t="s">
        <v>4</v>
      </c>
      <c r="C7" s="1">
        <v>50</v>
      </c>
      <c r="D7" s="1" t="s">
        <v>7</v>
      </c>
      <c r="E7" s="8" t="s">
        <v>0</v>
      </c>
    </row>
    <row r="8" spans="1:9" x14ac:dyDescent="0.25">
      <c r="A8" s="25">
        <v>8</v>
      </c>
      <c r="B8" s="23" t="s">
        <v>5</v>
      </c>
      <c r="C8" s="1">
        <v>20</v>
      </c>
      <c r="D8" s="1" t="s">
        <v>7</v>
      </c>
      <c r="E8" s="8" t="s">
        <v>48</v>
      </c>
    </row>
    <row r="9" spans="1:9" x14ac:dyDescent="0.25">
      <c r="A9" s="25">
        <v>9</v>
      </c>
      <c r="B9" s="23" t="s">
        <v>6</v>
      </c>
      <c r="C9" s="1">
        <v>4</v>
      </c>
      <c r="D9" s="1" t="s">
        <v>8</v>
      </c>
      <c r="E9" s="8" t="s">
        <v>49</v>
      </c>
    </row>
    <row r="10" spans="1:9" x14ac:dyDescent="0.25">
      <c r="A10" s="25">
        <v>10</v>
      </c>
      <c r="B10" s="23"/>
      <c r="E10" s="8"/>
    </row>
    <row r="11" spans="1:9" x14ac:dyDescent="0.25">
      <c r="A11" s="25">
        <v>11</v>
      </c>
      <c r="B11" s="23" t="s">
        <v>9</v>
      </c>
      <c r="C11" s="1">
        <v>500</v>
      </c>
      <c r="D11" s="1" t="s">
        <v>10</v>
      </c>
      <c r="E11" s="8" t="s">
        <v>50</v>
      </c>
    </row>
    <row r="12" spans="1:9" x14ac:dyDescent="0.25">
      <c r="A12" s="25">
        <v>12</v>
      </c>
      <c r="B12" s="23" t="s">
        <v>11</v>
      </c>
      <c r="C12" s="1">
        <v>450</v>
      </c>
      <c r="D12" s="1" t="s">
        <v>10</v>
      </c>
      <c r="E12" s="8" t="s">
        <v>51</v>
      </c>
    </row>
    <row r="13" spans="1:9" x14ac:dyDescent="0.25">
      <c r="A13" s="25">
        <v>13</v>
      </c>
      <c r="B13" s="23" t="s">
        <v>12</v>
      </c>
      <c r="C13" s="1">
        <v>200</v>
      </c>
      <c r="D13" s="1" t="s">
        <v>10</v>
      </c>
      <c r="E13" s="8" t="s">
        <v>52</v>
      </c>
    </row>
    <row r="14" spans="1:9" x14ac:dyDescent="0.25">
      <c r="A14" s="25">
        <v>14</v>
      </c>
      <c r="B14" s="23"/>
      <c r="E14" s="8"/>
    </row>
    <row r="15" spans="1:9" x14ac:dyDescent="0.25">
      <c r="A15" s="25">
        <v>15</v>
      </c>
      <c r="B15" s="23" t="s">
        <v>13</v>
      </c>
      <c r="C15" s="1">
        <v>100</v>
      </c>
      <c r="D15" s="1" t="s">
        <v>14</v>
      </c>
      <c r="E15" s="8" t="s">
        <v>53</v>
      </c>
    </row>
    <row r="16" spans="1:9" x14ac:dyDescent="0.25">
      <c r="A16" s="25">
        <v>16</v>
      </c>
      <c r="B16" s="23" t="s">
        <v>15</v>
      </c>
      <c r="C16" s="1">
        <v>0.8</v>
      </c>
      <c r="D16" s="1" t="s">
        <v>16</v>
      </c>
      <c r="E16" s="8" t="s">
        <v>54</v>
      </c>
    </row>
    <row r="17" spans="1:9" x14ac:dyDescent="0.25">
      <c r="A17" s="25">
        <v>17</v>
      </c>
      <c r="B17" s="23"/>
      <c r="E17" s="8"/>
    </row>
    <row r="18" spans="1:9" x14ac:dyDescent="0.25">
      <c r="A18" s="25">
        <v>18</v>
      </c>
      <c r="B18" s="23" t="s">
        <v>18</v>
      </c>
      <c r="C18" s="1">
        <v>3</v>
      </c>
      <c r="D18" s="1" t="s">
        <v>19</v>
      </c>
      <c r="E18" s="8" t="s">
        <v>55</v>
      </c>
    </row>
    <row r="19" spans="1:9" x14ac:dyDescent="0.25">
      <c r="A19" s="25">
        <v>19</v>
      </c>
      <c r="B19" s="9" t="s">
        <v>20</v>
      </c>
      <c r="C19" s="9">
        <v>1</v>
      </c>
      <c r="D19" s="9" t="s">
        <v>19</v>
      </c>
      <c r="E19" s="10" t="s">
        <v>56</v>
      </c>
    </row>
    <row r="20" spans="1:9" x14ac:dyDescent="0.25">
      <c r="A20" s="25">
        <v>20</v>
      </c>
    </row>
    <row r="21" spans="1:9" x14ac:dyDescent="0.25">
      <c r="A21" s="25">
        <v>21</v>
      </c>
      <c r="B21" s="1" t="s">
        <v>21</v>
      </c>
      <c r="C21" s="1" t="s">
        <v>129</v>
      </c>
    </row>
    <row r="22" spans="1:9" x14ac:dyDescent="0.25">
      <c r="A22" s="25">
        <v>22</v>
      </c>
      <c r="B22" s="1" t="s">
        <v>22</v>
      </c>
      <c r="C22" s="1" t="s">
        <v>23</v>
      </c>
    </row>
    <row r="23" spans="1:9" x14ac:dyDescent="0.25">
      <c r="A23" s="25">
        <v>23</v>
      </c>
    </row>
    <row r="24" spans="1:9" x14ac:dyDescent="0.25">
      <c r="A24" s="25">
        <v>24</v>
      </c>
      <c r="B24" s="3" t="s">
        <v>17</v>
      </c>
      <c r="E24" s="4"/>
    </row>
    <row r="25" spans="1:9" x14ac:dyDescent="0.25">
      <c r="A25" s="25">
        <v>25</v>
      </c>
      <c r="B25" s="3" t="s">
        <v>24</v>
      </c>
      <c r="E25" s="4"/>
    </row>
    <row r="26" spans="1:9" x14ac:dyDescent="0.25">
      <c r="A26" s="25">
        <v>26</v>
      </c>
      <c r="B26" s="3" t="s">
        <v>25</v>
      </c>
      <c r="E26" s="4"/>
    </row>
    <row r="27" spans="1:9" x14ac:dyDescent="0.25">
      <c r="A27" s="25">
        <v>27</v>
      </c>
      <c r="E27" s="4"/>
    </row>
    <row r="28" spans="1:9" ht="14.4" thickBot="1" x14ac:dyDescent="0.3">
      <c r="A28" s="25">
        <v>28</v>
      </c>
      <c r="B28" s="3"/>
      <c r="E28" s="4"/>
    </row>
    <row r="29" spans="1:9" ht="14.4" thickBot="1" x14ac:dyDescent="0.3">
      <c r="A29" s="25">
        <v>29</v>
      </c>
      <c r="B29" s="32" t="s">
        <v>103</v>
      </c>
      <c r="C29" s="33"/>
      <c r="D29" s="33"/>
      <c r="E29" s="33"/>
      <c r="F29" s="33"/>
      <c r="G29" s="33"/>
      <c r="H29" s="33"/>
      <c r="I29" s="34"/>
    </row>
    <row r="30" spans="1:9" x14ac:dyDescent="0.25">
      <c r="A30" s="25">
        <v>30</v>
      </c>
      <c r="B30" s="1" t="s">
        <v>27</v>
      </c>
    </row>
    <row r="31" spans="1:9" x14ac:dyDescent="0.25">
      <c r="A31" s="25">
        <v>31</v>
      </c>
      <c r="B31" s="1" t="s">
        <v>26</v>
      </c>
    </row>
    <row r="32" spans="1:9" x14ac:dyDescent="0.25">
      <c r="A32" s="25">
        <v>32</v>
      </c>
      <c r="B32" s="1" t="s">
        <v>28</v>
      </c>
    </row>
    <row r="33" spans="1:8" x14ac:dyDescent="0.25">
      <c r="A33" s="25">
        <v>33</v>
      </c>
      <c r="B33" s="1" t="s">
        <v>131</v>
      </c>
    </row>
    <row r="34" spans="1:8" x14ac:dyDescent="0.25">
      <c r="A34" s="25">
        <v>34</v>
      </c>
    </row>
    <row r="35" spans="1:8" x14ac:dyDescent="0.25">
      <c r="A35" s="25">
        <v>35</v>
      </c>
    </row>
    <row r="36" spans="1:8" x14ac:dyDescent="0.25">
      <c r="A36" s="25">
        <v>36</v>
      </c>
      <c r="B36" s="1" t="s">
        <v>30</v>
      </c>
      <c r="C36" s="1" t="s">
        <v>31</v>
      </c>
    </row>
    <row r="37" spans="1:8" x14ac:dyDescent="0.25">
      <c r="A37" s="25">
        <v>37</v>
      </c>
      <c r="C37" s="1" t="s">
        <v>32</v>
      </c>
    </row>
    <row r="38" spans="1:8" x14ac:dyDescent="0.25">
      <c r="A38" s="25">
        <v>38</v>
      </c>
      <c r="C38" s="1" t="s">
        <v>33</v>
      </c>
    </row>
    <row r="39" spans="1:8" x14ac:dyDescent="0.25">
      <c r="A39" s="25">
        <v>39</v>
      </c>
      <c r="B39" s="5" t="s">
        <v>21</v>
      </c>
    </row>
    <row r="40" spans="1:8" x14ac:dyDescent="0.25">
      <c r="A40" s="25">
        <v>40</v>
      </c>
      <c r="B40" s="1" t="s">
        <v>29</v>
      </c>
    </row>
    <row r="41" spans="1:8" x14ac:dyDescent="0.25">
      <c r="A41" s="25">
        <v>41</v>
      </c>
      <c r="B41" s="1" t="s">
        <v>34</v>
      </c>
    </row>
    <row r="42" spans="1:8" x14ac:dyDescent="0.25">
      <c r="A42" s="25">
        <v>42</v>
      </c>
      <c r="B42" s="1" t="s">
        <v>35</v>
      </c>
    </row>
    <row r="43" spans="1:8" x14ac:dyDescent="0.25">
      <c r="A43" s="25">
        <v>43</v>
      </c>
      <c r="B43" s="1" t="s">
        <v>134</v>
      </c>
    </row>
    <row r="44" spans="1:8" x14ac:dyDescent="0.25">
      <c r="A44" s="25">
        <v>44</v>
      </c>
      <c r="B44" s="5" t="s">
        <v>36</v>
      </c>
    </row>
    <row r="45" spans="1:8" x14ac:dyDescent="0.25">
      <c r="A45" s="25">
        <v>45</v>
      </c>
      <c r="B45" s="18" t="s">
        <v>45</v>
      </c>
      <c r="C45" s="6" t="s">
        <v>2</v>
      </c>
      <c r="D45" s="18" t="s">
        <v>3</v>
      </c>
      <c r="E45" s="21" t="s">
        <v>44</v>
      </c>
      <c r="F45" s="19"/>
      <c r="G45" s="19"/>
      <c r="H45" s="20"/>
    </row>
    <row r="46" spans="1:8" x14ac:dyDescent="0.25">
      <c r="A46" s="25">
        <v>46</v>
      </c>
      <c r="B46" s="11" t="s">
        <v>40</v>
      </c>
      <c r="C46" s="11">
        <v>50</v>
      </c>
      <c r="D46" s="11"/>
      <c r="E46" s="12"/>
      <c r="F46" s="12"/>
      <c r="G46" s="12"/>
      <c r="H46" s="13"/>
    </row>
    <row r="47" spans="1:8" x14ac:dyDescent="0.25">
      <c r="A47" s="25">
        <v>47</v>
      </c>
      <c r="B47" s="23" t="s">
        <v>39</v>
      </c>
      <c r="C47" s="1">
        <f>(MAX(0,C46-D_A)*H + MAX(0,C46-2*D_A)*H + MAX(0,C46-3*D_A)*H + MAX(0,C46-4*D_A)*H) / (C46/D_A)</f>
        <v>0</v>
      </c>
      <c r="D47" s="1" t="s">
        <v>37</v>
      </c>
      <c r="E47" s="2" t="s">
        <v>163</v>
      </c>
      <c r="H47" s="8"/>
    </row>
    <row r="48" spans="1:8" x14ac:dyDescent="0.25">
      <c r="A48" s="25">
        <v>48</v>
      </c>
      <c r="B48" s="23" t="s">
        <v>38</v>
      </c>
      <c r="C48" s="1">
        <f>(IstAnk+IstAnk)*TruckCost/(C46/D_A)</f>
        <v>800</v>
      </c>
      <c r="D48" s="1" t="s">
        <v>37</v>
      </c>
      <c r="E48" s="2" t="s">
        <v>133</v>
      </c>
      <c r="H48" s="8"/>
    </row>
    <row r="49" spans="1:8" x14ac:dyDescent="0.25">
      <c r="A49" s="25">
        <v>49</v>
      </c>
      <c r="B49" s="23" t="s">
        <v>41</v>
      </c>
      <c r="C49" s="1">
        <f>C46*h_RDC/(C46/D_A)</f>
        <v>150</v>
      </c>
      <c r="D49" s="1" t="s">
        <v>37</v>
      </c>
      <c r="E49" s="2" t="s">
        <v>141</v>
      </c>
      <c r="H49" s="8"/>
    </row>
    <row r="50" spans="1:8" x14ac:dyDescent="0.25">
      <c r="A50" s="25">
        <v>50</v>
      </c>
      <c r="B50" s="9" t="s">
        <v>42</v>
      </c>
      <c r="C50" s="9">
        <f>SUM(C47:C49)</f>
        <v>950</v>
      </c>
      <c r="D50" s="9" t="s">
        <v>37</v>
      </c>
      <c r="E50" s="14" t="s">
        <v>46</v>
      </c>
      <c r="F50" s="14"/>
      <c r="G50" s="14"/>
      <c r="H50" s="10"/>
    </row>
    <row r="51" spans="1:8" x14ac:dyDescent="0.25">
      <c r="A51" s="25">
        <v>51</v>
      </c>
    </row>
    <row r="52" spans="1:8" x14ac:dyDescent="0.25">
      <c r="A52" s="25">
        <v>52</v>
      </c>
      <c r="B52" s="11" t="s">
        <v>43</v>
      </c>
      <c r="C52" s="11">
        <v>100</v>
      </c>
      <c r="D52" s="11"/>
      <c r="E52" s="12"/>
      <c r="F52" s="12"/>
      <c r="G52" s="12"/>
      <c r="H52" s="13"/>
    </row>
    <row r="53" spans="1:8" x14ac:dyDescent="0.25">
      <c r="A53" s="25">
        <v>53</v>
      </c>
      <c r="B53" s="23" t="s">
        <v>39</v>
      </c>
      <c r="C53" s="1">
        <f>(MAX(0,C52-D_A)*H + MAX(0,C52-2*D_A)*H + MAX(0,C52-3*D_A)*H + MAX(0,C52-4*D_A)*H) / (C52/D_A)</f>
        <v>100</v>
      </c>
      <c r="D53" s="1" t="s">
        <v>37</v>
      </c>
      <c r="E53" s="2" t="s">
        <v>164</v>
      </c>
      <c r="H53" s="8"/>
    </row>
    <row r="54" spans="1:8" x14ac:dyDescent="0.25">
      <c r="A54" s="25">
        <v>54</v>
      </c>
      <c r="B54" s="23" t="s">
        <v>38</v>
      </c>
      <c r="C54" s="1">
        <f>(IstAnk+IstAnk)*TruckCost/(C52/D_A)</f>
        <v>400</v>
      </c>
      <c r="D54" s="1" t="s">
        <v>37</v>
      </c>
      <c r="E54" s="2" t="s">
        <v>133</v>
      </c>
      <c r="H54" s="8"/>
    </row>
    <row r="55" spans="1:8" x14ac:dyDescent="0.25">
      <c r="A55" s="25">
        <v>55</v>
      </c>
      <c r="B55" s="23" t="s">
        <v>41</v>
      </c>
      <c r="C55" s="1">
        <f>C52*h_RDC/(C52/D_A)</f>
        <v>150</v>
      </c>
      <c r="D55" s="1" t="s">
        <v>37</v>
      </c>
      <c r="E55" s="2" t="s">
        <v>141</v>
      </c>
      <c r="H55" s="8"/>
    </row>
    <row r="56" spans="1:8" x14ac:dyDescent="0.25">
      <c r="A56" s="25">
        <v>56</v>
      </c>
      <c r="B56" s="15" t="s">
        <v>42</v>
      </c>
      <c r="C56" s="15">
        <f>SUM(C53:C55)</f>
        <v>650</v>
      </c>
      <c r="D56" s="15" t="s">
        <v>37</v>
      </c>
      <c r="E56" s="16" t="s">
        <v>46</v>
      </c>
      <c r="F56" s="14"/>
      <c r="G56" s="14"/>
      <c r="H56" s="10"/>
    </row>
    <row r="57" spans="1:8" x14ac:dyDescent="0.25">
      <c r="A57" s="25">
        <v>57</v>
      </c>
    </row>
    <row r="58" spans="1:8" x14ac:dyDescent="0.25">
      <c r="A58" s="25">
        <v>58</v>
      </c>
      <c r="B58" s="5" t="s">
        <v>57</v>
      </c>
    </row>
    <row r="59" spans="1:8" x14ac:dyDescent="0.25">
      <c r="A59" s="25">
        <v>59</v>
      </c>
      <c r="B59" s="11" t="s">
        <v>58</v>
      </c>
      <c r="C59" s="11">
        <v>20</v>
      </c>
      <c r="D59" s="11"/>
      <c r="E59" s="12"/>
      <c r="F59" s="12"/>
      <c r="G59" s="12"/>
      <c r="H59" s="13"/>
    </row>
    <row r="60" spans="1:8" x14ac:dyDescent="0.25">
      <c r="A60" s="25">
        <v>60</v>
      </c>
      <c r="B60" s="23" t="s">
        <v>39</v>
      </c>
      <c r="C60" s="1">
        <f>(MAX(0,C59-D_E)*H + MAX(0,C59-2*D_E)*H + MAX(0,C59-3*D_E)*H + MAX(0,C59-4*D_E)*H) / (C59/D_E)</f>
        <v>0</v>
      </c>
      <c r="D60" s="1" t="s">
        <v>37</v>
      </c>
      <c r="E60" s="2" t="s">
        <v>136</v>
      </c>
      <c r="H60" s="8"/>
    </row>
    <row r="61" spans="1:8" x14ac:dyDescent="0.25">
      <c r="A61" s="25">
        <v>61</v>
      </c>
      <c r="B61" s="23" t="s">
        <v>38</v>
      </c>
      <c r="C61" s="1">
        <f>(IstEsk+IstEsk)*TruckCost/(C59/D_E)</f>
        <v>720</v>
      </c>
      <c r="D61" s="1" t="s">
        <v>37</v>
      </c>
      <c r="E61" s="2" t="s">
        <v>138</v>
      </c>
      <c r="H61" s="8"/>
    </row>
    <row r="62" spans="1:8" x14ac:dyDescent="0.25">
      <c r="A62" s="25">
        <v>62</v>
      </c>
      <c r="B62" s="23" t="s">
        <v>41</v>
      </c>
      <c r="C62" s="1">
        <f>C59*h_RDC/(C59/D_E)</f>
        <v>60</v>
      </c>
      <c r="D62" s="1" t="s">
        <v>37</v>
      </c>
      <c r="E62" s="2" t="s">
        <v>141</v>
      </c>
      <c r="H62" s="8"/>
    </row>
    <row r="63" spans="1:8" x14ac:dyDescent="0.25">
      <c r="A63" s="25">
        <v>63</v>
      </c>
      <c r="B63" s="9" t="s">
        <v>42</v>
      </c>
      <c r="C63" s="9">
        <f>SUM(C60:C62)</f>
        <v>780</v>
      </c>
      <c r="D63" s="9" t="s">
        <v>37</v>
      </c>
      <c r="E63" s="14" t="s">
        <v>46</v>
      </c>
      <c r="F63" s="14"/>
      <c r="G63" s="14"/>
      <c r="H63" s="10"/>
    </row>
    <row r="64" spans="1:8" x14ac:dyDescent="0.25">
      <c r="A64" s="25">
        <v>64</v>
      </c>
    </row>
    <row r="65" spans="1:8" x14ac:dyDescent="0.25">
      <c r="A65" s="25">
        <v>65</v>
      </c>
      <c r="B65" s="11" t="s">
        <v>59</v>
      </c>
      <c r="C65" s="11">
        <v>40</v>
      </c>
      <c r="D65" s="11"/>
      <c r="E65" s="12"/>
      <c r="F65" s="12"/>
      <c r="G65" s="12"/>
      <c r="H65" s="13"/>
    </row>
    <row r="66" spans="1:8" x14ac:dyDescent="0.25">
      <c r="A66" s="25">
        <v>66</v>
      </c>
      <c r="B66" s="23" t="s">
        <v>39</v>
      </c>
      <c r="C66" s="1">
        <f>(MAX(0,C65-D_E)*H + MAX(0,C65-2*D_E)*H + MAX(0,C65-3*D_E)*H + MAX(0,C65-4*D_E)*H) / (C65/D_E)</f>
        <v>40</v>
      </c>
      <c r="D66" s="1" t="s">
        <v>37</v>
      </c>
      <c r="E66" s="2" t="s">
        <v>135</v>
      </c>
      <c r="H66" s="8"/>
    </row>
    <row r="67" spans="1:8" x14ac:dyDescent="0.25">
      <c r="A67" s="25">
        <v>67</v>
      </c>
      <c r="B67" s="23" t="s">
        <v>38</v>
      </c>
      <c r="C67" s="1">
        <f>(IstEsk+IstEsk)*TruckCost/(C65/D_E)</f>
        <v>360</v>
      </c>
      <c r="D67" s="1" t="s">
        <v>37</v>
      </c>
      <c r="E67" s="2" t="s">
        <v>138</v>
      </c>
      <c r="H67" s="8"/>
    </row>
    <row r="68" spans="1:8" x14ac:dyDescent="0.25">
      <c r="A68" s="25">
        <v>68</v>
      </c>
      <c r="B68" s="23" t="s">
        <v>41</v>
      </c>
      <c r="C68" s="1">
        <f>C65*h_RDC/(C65/D_E)</f>
        <v>60</v>
      </c>
      <c r="D68" s="1" t="s">
        <v>37</v>
      </c>
      <c r="E68" s="2" t="s">
        <v>141</v>
      </c>
      <c r="H68" s="8"/>
    </row>
    <row r="69" spans="1:8" x14ac:dyDescent="0.25">
      <c r="A69" s="25">
        <v>69</v>
      </c>
      <c r="B69" s="9" t="s">
        <v>42</v>
      </c>
      <c r="C69" s="9">
        <f>SUM(C66:C68)</f>
        <v>460</v>
      </c>
      <c r="D69" s="9" t="s">
        <v>37</v>
      </c>
      <c r="E69" s="14" t="s">
        <v>46</v>
      </c>
      <c r="F69" s="14"/>
      <c r="G69" s="14"/>
      <c r="H69" s="10"/>
    </row>
    <row r="70" spans="1:8" x14ac:dyDescent="0.25">
      <c r="A70" s="25">
        <v>70</v>
      </c>
      <c r="B70" s="23"/>
      <c r="C70" s="23"/>
      <c r="D70" s="23"/>
      <c r="E70" s="28"/>
      <c r="F70" s="28"/>
      <c r="G70" s="28"/>
      <c r="H70" s="28"/>
    </row>
    <row r="71" spans="1:8" x14ac:dyDescent="0.25">
      <c r="A71" s="25">
        <v>71</v>
      </c>
    </row>
    <row r="72" spans="1:8" x14ac:dyDescent="0.25">
      <c r="A72" s="25">
        <v>72</v>
      </c>
      <c r="B72" s="11" t="s">
        <v>60</v>
      </c>
      <c r="C72" s="11">
        <v>60</v>
      </c>
      <c r="D72" s="11"/>
      <c r="E72" s="12"/>
      <c r="F72" s="12"/>
      <c r="G72" s="12"/>
      <c r="H72" s="13"/>
    </row>
    <row r="73" spans="1:8" x14ac:dyDescent="0.25">
      <c r="A73" s="25">
        <v>73</v>
      </c>
      <c r="B73" s="23" t="s">
        <v>39</v>
      </c>
      <c r="C73" s="1">
        <f>(MAX(0,C72-D_E)*H + MAX(0,C72-2*D_E)*H + MAX(0,C72-3*D_E)*H + MAX(0,C72-4*D_E)*H) / (C72/D_E)</f>
        <v>80</v>
      </c>
      <c r="D73" s="1" t="s">
        <v>37</v>
      </c>
      <c r="E73" s="2" t="s">
        <v>139</v>
      </c>
      <c r="H73" s="8"/>
    </row>
    <row r="74" spans="1:8" x14ac:dyDescent="0.25">
      <c r="A74" s="25">
        <v>74</v>
      </c>
      <c r="B74" s="23" t="s">
        <v>38</v>
      </c>
      <c r="C74" s="1">
        <f>(IstEsk+IstEsk)*TruckCost/(C72/D_E)</f>
        <v>240</v>
      </c>
      <c r="D74" s="1" t="s">
        <v>37</v>
      </c>
      <c r="E74" s="2" t="s">
        <v>137</v>
      </c>
      <c r="H74" s="8"/>
    </row>
    <row r="75" spans="1:8" x14ac:dyDescent="0.25">
      <c r="A75" s="25">
        <v>75</v>
      </c>
      <c r="B75" s="23" t="s">
        <v>41</v>
      </c>
      <c r="C75" s="1">
        <f>C72*h_RDC/(C72/D_E)</f>
        <v>60</v>
      </c>
      <c r="D75" s="1" t="s">
        <v>37</v>
      </c>
      <c r="E75" s="2" t="s">
        <v>141</v>
      </c>
      <c r="H75" s="8"/>
    </row>
    <row r="76" spans="1:8" x14ac:dyDescent="0.25">
      <c r="A76" s="25">
        <v>76</v>
      </c>
      <c r="B76" s="9" t="s">
        <v>42</v>
      </c>
      <c r="C76" s="9">
        <f>SUM(C73:C75)</f>
        <v>380</v>
      </c>
      <c r="D76" s="9" t="s">
        <v>37</v>
      </c>
      <c r="E76" s="14" t="s">
        <v>46</v>
      </c>
      <c r="F76" s="14"/>
      <c r="G76" s="14"/>
      <c r="H76" s="10"/>
    </row>
    <row r="77" spans="1:8" x14ac:dyDescent="0.25">
      <c r="A77" s="25">
        <v>77</v>
      </c>
    </row>
    <row r="78" spans="1:8" x14ac:dyDescent="0.25">
      <c r="A78" s="25">
        <v>78</v>
      </c>
      <c r="B78" s="11" t="s">
        <v>61</v>
      </c>
      <c r="C78" s="11">
        <v>80</v>
      </c>
      <c r="D78" s="11"/>
      <c r="E78" s="12"/>
      <c r="F78" s="12"/>
      <c r="G78" s="12"/>
      <c r="H78" s="13"/>
    </row>
    <row r="79" spans="1:8" x14ac:dyDescent="0.25">
      <c r="A79" s="25">
        <v>79</v>
      </c>
      <c r="B79" s="23" t="s">
        <v>39</v>
      </c>
      <c r="C79" s="1">
        <f>(MAX(0,C78-D_E)*H + MAX(0,C78-2*D_E)*H + MAX(0,C78-3*D_E)*H + MAX(0,C78-4*D_E)*H) / (C78/D_E)</f>
        <v>120</v>
      </c>
      <c r="D79" s="1" t="s">
        <v>37</v>
      </c>
      <c r="E79" s="2" t="s">
        <v>140</v>
      </c>
      <c r="H79" s="8"/>
    </row>
    <row r="80" spans="1:8" x14ac:dyDescent="0.25">
      <c r="A80" s="25">
        <v>80</v>
      </c>
      <c r="B80" s="23" t="s">
        <v>38</v>
      </c>
      <c r="C80" s="1">
        <f>(IstEsk+IstEsk)*TruckCost/(C78/D_E)</f>
        <v>180</v>
      </c>
      <c r="D80" s="1" t="s">
        <v>37</v>
      </c>
      <c r="E80" s="2" t="s">
        <v>137</v>
      </c>
      <c r="H80" s="8"/>
    </row>
    <row r="81" spans="1:8" x14ac:dyDescent="0.25">
      <c r="A81" s="25">
        <v>81</v>
      </c>
      <c r="B81" s="23" t="s">
        <v>41</v>
      </c>
      <c r="C81" s="1">
        <f>C78*h_RDC/(C78/D_E)</f>
        <v>60</v>
      </c>
      <c r="D81" s="1" t="s">
        <v>37</v>
      </c>
      <c r="E81" s="2" t="s">
        <v>141</v>
      </c>
      <c r="H81" s="8"/>
    </row>
    <row r="82" spans="1:8" x14ac:dyDescent="0.25">
      <c r="A82" s="25">
        <v>82</v>
      </c>
      <c r="B82" s="15" t="s">
        <v>42</v>
      </c>
      <c r="C82" s="15">
        <f>SUM(C79:C81)</f>
        <v>360</v>
      </c>
      <c r="D82" s="15" t="s">
        <v>37</v>
      </c>
      <c r="E82" s="16" t="s">
        <v>46</v>
      </c>
      <c r="F82" s="14"/>
      <c r="G82" s="14"/>
      <c r="H82" s="10"/>
    </row>
    <row r="83" spans="1:8" x14ac:dyDescent="0.25">
      <c r="A83" s="25">
        <v>83</v>
      </c>
    </row>
    <row r="84" spans="1:8" x14ac:dyDescent="0.25">
      <c r="A84" s="25">
        <v>84</v>
      </c>
      <c r="B84" s="11" t="s">
        <v>62</v>
      </c>
      <c r="C84" s="11">
        <v>100</v>
      </c>
      <c r="D84" s="11"/>
      <c r="E84" s="12"/>
      <c r="F84" s="12"/>
      <c r="G84" s="12"/>
      <c r="H84" s="13"/>
    </row>
    <row r="85" spans="1:8" x14ac:dyDescent="0.25">
      <c r="A85" s="25">
        <v>85</v>
      </c>
      <c r="B85" s="23" t="s">
        <v>39</v>
      </c>
      <c r="C85" s="1">
        <f>(MAX(0,C84-D_E)*H + MAX(0,C84-2*D_E)*H + MAX(0,C84-3*D_E)*H + MAX(0,C84-4*D_E)*H) / (C84/D_E)</f>
        <v>160</v>
      </c>
      <c r="D85" s="1" t="s">
        <v>37</v>
      </c>
      <c r="H85" s="8"/>
    </row>
    <row r="86" spans="1:8" x14ac:dyDescent="0.25">
      <c r="A86" s="25">
        <v>86</v>
      </c>
      <c r="B86" s="23" t="s">
        <v>38</v>
      </c>
      <c r="C86" s="1">
        <f>(IstEsk+IstEsk)*TruckCost/(C84/D_E)</f>
        <v>144</v>
      </c>
      <c r="D86" s="1" t="s">
        <v>37</v>
      </c>
      <c r="E86" s="2" t="s">
        <v>137</v>
      </c>
      <c r="H86" s="8"/>
    </row>
    <row r="87" spans="1:8" x14ac:dyDescent="0.25">
      <c r="A87" s="25">
        <v>87</v>
      </c>
      <c r="B87" s="23" t="s">
        <v>41</v>
      </c>
      <c r="C87" s="1">
        <f>C84*h_RDC/(C84/D_E)</f>
        <v>60</v>
      </c>
      <c r="D87" s="1" t="s">
        <v>37</v>
      </c>
      <c r="E87" s="2" t="s">
        <v>141</v>
      </c>
      <c r="H87" s="8"/>
    </row>
    <row r="88" spans="1:8" x14ac:dyDescent="0.25">
      <c r="A88" s="25">
        <v>88</v>
      </c>
      <c r="B88" s="9" t="s">
        <v>42</v>
      </c>
      <c r="C88" s="9">
        <f>SUM(C85:C87)</f>
        <v>364</v>
      </c>
      <c r="D88" s="9" t="s">
        <v>37</v>
      </c>
      <c r="E88" s="14" t="s">
        <v>46</v>
      </c>
      <c r="F88" s="14"/>
      <c r="G88" s="14"/>
      <c r="H88" s="10"/>
    </row>
    <row r="89" spans="1:8" x14ac:dyDescent="0.25">
      <c r="A89" s="25">
        <v>89</v>
      </c>
    </row>
    <row r="90" spans="1:8" x14ac:dyDescent="0.25">
      <c r="A90" s="25">
        <v>90</v>
      </c>
      <c r="B90" s="5" t="s">
        <v>88</v>
      </c>
    </row>
    <row r="91" spans="1:8" x14ac:dyDescent="0.25">
      <c r="A91" s="25">
        <v>91</v>
      </c>
      <c r="B91" s="1" t="s">
        <v>125</v>
      </c>
      <c r="C91" s="1" t="s">
        <v>68</v>
      </c>
      <c r="E91" s="1"/>
    </row>
    <row r="92" spans="1:8" x14ac:dyDescent="0.25">
      <c r="A92" s="25">
        <v>92</v>
      </c>
    </row>
    <row r="93" spans="1:8" x14ac:dyDescent="0.25">
      <c r="A93" s="25">
        <v>93</v>
      </c>
      <c r="B93" s="3" t="s">
        <v>235</v>
      </c>
    </row>
    <row r="94" spans="1:8" x14ac:dyDescent="0.25">
      <c r="A94" s="25">
        <v>94</v>
      </c>
      <c r="B94" s="1" t="s">
        <v>168</v>
      </c>
    </row>
    <row r="95" spans="1:8" x14ac:dyDescent="0.25">
      <c r="A95" s="25">
        <v>95</v>
      </c>
    </row>
    <row r="96" spans="1:8" x14ac:dyDescent="0.25">
      <c r="A96" s="25">
        <v>96</v>
      </c>
      <c r="B96" s="11" t="s">
        <v>63</v>
      </c>
      <c r="C96" s="11">
        <v>70</v>
      </c>
      <c r="D96" s="11"/>
      <c r="E96" s="11" t="s">
        <v>64</v>
      </c>
      <c r="F96" s="12"/>
      <c r="G96" s="12"/>
      <c r="H96" s="13"/>
    </row>
    <row r="97" spans="1:9" x14ac:dyDescent="0.25">
      <c r="A97" s="25">
        <v>97</v>
      </c>
      <c r="B97" s="23" t="s">
        <v>65</v>
      </c>
      <c r="C97" s="1">
        <f>(IstAnk+EskAnk+IstEsk)*TruckCost</f>
        <v>920</v>
      </c>
      <c r="D97" s="1" t="s">
        <v>37</v>
      </c>
      <c r="E97" s="1" t="s">
        <v>66</v>
      </c>
      <c r="H97" s="8"/>
    </row>
    <row r="98" spans="1:9" x14ac:dyDescent="0.25">
      <c r="A98" s="25">
        <v>98</v>
      </c>
      <c r="B98" s="23" t="s">
        <v>41</v>
      </c>
      <c r="C98" s="1">
        <f>C96*h_Milkrun</f>
        <v>70</v>
      </c>
      <c r="D98" s="1" t="s">
        <v>37</v>
      </c>
      <c r="E98" s="1" t="s">
        <v>67</v>
      </c>
      <c r="H98" s="8"/>
    </row>
    <row r="99" spans="1:9" x14ac:dyDescent="0.25">
      <c r="A99" s="25">
        <v>99</v>
      </c>
      <c r="B99" s="9" t="s">
        <v>42</v>
      </c>
      <c r="C99" s="9">
        <f>SUM(C97:C98)</f>
        <v>990</v>
      </c>
      <c r="D99" s="9" t="s">
        <v>37</v>
      </c>
      <c r="E99" s="14"/>
      <c r="F99" s="14"/>
      <c r="G99" s="14"/>
      <c r="H99" s="10"/>
    </row>
    <row r="100" spans="1:9" x14ac:dyDescent="0.25">
      <c r="A100" s="25">
        <v>100</v>
      </c>
    </row>
    <row r="101" spans="1:9" x14ac:dyDescent="0.25">
      <c r="A101" s="25">
        <v>101</v>
      </c>
    </row>
    <row r="102" spans="1:9" x14ac:dyDescent="0.25">
      <c r="A102" s="25">
        <v>102</v>
      </c>
      <c r="B102" s="11" t="s">
        <v>69</v>
      </c>
      <c r="C102" s="11">
        <f>C82+C56</f>
        <v>1010</v>
      </c>
      <c r="D102" s="11" t="s">
        <v>37</v>
      </c>
      <c r="E102" s="12" t="s">
        <v>71</v>
      </c>
      <c r="F102" s="12"/>
      <c r="G102" s="12"/>
      <c r="H102" s="13"/>
    </row>
    <row r="103" spans="1:9" x14ac:dyDescent="0.25">
      <c r="A103" s="25">
        <v>103</v>
      </c>
      <c r="B103" s="9" t="s">
        <v>70</v>
      </c>
      <c r="C103" s="9">
        <f>C99</f>
        <v>990</v>
      </c>
      <c r="D103" s="9" t="s">
        <v>37</v>
      </c>
      <c r="E103" s="14"/>
      <c r="F103" s="14"/>
      <c r="G103" s="14"/>
      <c r="H103" s="10"/>
    </row>
    <row r="104" spans="1:9" x14ac:dyDescent="0.25">
      <c r="A104" s="25">
        <v>104</v>
      </c>
    </row>
    <row r="105" spans="1:9" x14ac:dyDescent="0.25">
      <c r="A105" s="25">
        <v>105</v>
      </c>
      <c r="B105" s="1" t="s">
        <v>185</v>
      </c>
    </row>
    <row r="106" spans="1:9" x14ac:dyDescent="0.25">
      <c r="A106" s="25">
        <v>106</v>
      </c>
      <c r="B106" s="17" t="s">
        <v>132</v>
      </c>
    </row>
    <row r="107" spans="1:9" ht="14.4" thickBot="1" x14ac:dyDescent="0.3">
      <c r="A107" s="25">
        <v>107</v>
      </c>
      <c r="B107" s="17" t="s">
        <v>240</v>
      </c>
    </row>
    <row r="108" spans="1:9" ht="14.4" thickBot="1" x14ac:dyDescent="0.3">
      <c r="A108" s="25">
        <v>108</v>
      </c>
      <c r="B108" s="32" t="s">
        <v>104</v>
      </c>
      <c r="C108" s="33"/>
      <c r="D108" s="33"/>
      <c r="E108" s="33"/>
      <c r="F108" s="33"/>
      <c r="G108" s="33"/>
      <c r="H108" s="33"/>
      <c r="I108" s="34"/>
    </row>
    <row r="109" spans="1:9" x14ac:dyDescent="0.25">
      <c r="A109" s="25">
        <v>109</v>
      </c>
      <c r="B109" s="1" t="s">
        <v>169</v>
      </c>
    </row>
    <row r="110" spans="1:9" x14ac:dyDescent="0.25">
      <c r="A110" s="25">
        <v>110</v>
      </c>
      <c r="B110" s="1" t="s">
        <v>98</v>
      </c>
      <c r="C110" s="1" t="s">
        <v>99</v>
      </c>
    </row>
    <row r="111" spans="1:9" x14ac:dyDescent="0.25">
      <c r="A111" s="25">
        <v>111</v>
      </c>
      <c r="B111" s="1" t="s">
        <v>127</v>
      </c>
    </row>
    <row r="112" spans="1:9" x14ac:dyDescent="0.25">
      <c r="A112" s="25">
        <v>112</v>
      </c>
      <c r="B112" s="5" t="s">
        <v>36</v>
      </c>
    </row>
    <row r="113" spans="1:8" x14ac:dyDescent="0.25">
      <c r="A113" s="25">
        <v>113</v>
      </c>
      <c r="B113" s="11" t="s">
        <v>72</v>
      </c>
      <c r="C113" s="11">
        <f>(IstAnk+IstAnk)*TruckCost</f>
        <v>800</v>
      </c>
      <c r="D113" s="11" t="s">
        <v>82</v>
      </c>
      <c r="E113" s="11" t="s">
        <v>73</v>
      </c>
      <c r="F113" s="12"/>
      <c r="G113" s="12"/>
      <c r="H113" s="13"/>
    </row>
    <row r="114" spans="1:8" x14ac:dyDescent="0.25">
      <c r="A114" s="25">
        <v>114</v>
      </c>
      <c r="B114" s="23" t="s">
        <v>74</v>
      </c>
      <c r="C114" s="1">
        <f>SQRT((2*C113*D_A)/H)</f>
        <v>141.42135623730951</v>
      </c>
      <c r="D114" s="1" t="s">
        <v>14</v>
      </c>
      <c r="E114" s="1" t="s">
        <v>78</v>
      </c>
      <c r="H114" s="8"/>
    </row>
    <row r="115" spans="1:8" x14ac:dyDescent="0.25">
      <c r="A115" s="25">
        <v>115</v>
      </c>
      <c r="B115" s="23"/>
      <c r="H115" s="8"/>
    </row>
    <row r="116" spans="1:8" x14ac:dyDescent="0.25">
      <c r="A116" s="25">
        <v>116</v>
      </c>
      <c r="B116" s="23" t="s">
        <v>75</v>
      </c>
      <c r="H116" s="8"/>
    </row>
    <row r="117" spans="1:8" x14ac:dyDescent="0.25">
      <c r="A117" s="25">
        <v>117</v>
      </c>
      <c r="B117" s="23" t="s">
        <v>170</v>
      </c>
      <c r="H117" s="8"/>
    </row>
    <row r="118" spans="1:8" x14ac:dyDescent="0.25">
      <c r="A118" s="25">
        <v>118</v>
      </c>
      <c r="B118" s="23"/>
      <c r="H118" s="8"/>
    </row>
    <row r="119" spans="1:8" x14ac:dyDescent="0.25">
      <c r="A119" s="25">
        <v>119</v>
      </c>
      <c r="B119" s="23" t="s">
        <v>92</v>
      </c>
      <c r="C119" s="1">
        <f>C113*D_A/TruckCap + H*TruckCap/2</f>
        <v>600</v>
      </c>
      <c r="D119" s="1" t="s">
        <v>37</v>
      </c>
      <c r="E119" s="1" t="s">
        <v>171</v>
      </c>
      <c r="H119" s="8"/>
    </row>
    <row r="120" spans="1:8" x14ac:dyDescent="0.25">
      <c r="A120" s="25">
        <v>120</v>
      </c>
      <c r="B120" s="23" t="s">
        <v>41</v>
      </c>
      <c r="C120" s="1">
        <f>D_A*h_RDC</f>
        <v>150</v>
      </c>
      <c r="D120" s="1" t="s">
        <v>37</v>
      </c>
      <c r="E120" s="1" t="s">
        <v>81</v>
      </c>
      <c r="H120" s="8"/>
    </row>
    <row r="121" spans="1:8" x14ac:dyDescent="0.25">
      <c r="A121" s="25">
        <v>121</v>
      </c>
      <c r="B121" s="15" t="s">
        <v>85</v>
      </c>
      <c r="C121" s="15">
        <f>C119+C120</f>
        <v>750</v>
      </c>
      <c r="D121" s="9" t="s">
        <v>37</v>
      </c>
      <c r="E121" s="14"/>
      <c r="F121" s="14"/>
      <c r="G121" s="14"/>
      <c r="H121" s="10"/>
    </row>
    <row r="122" spans="1:8" x14ac:dyDescent="0.25">
      <c r="A122" s="25">
        <v>122</v>
      </c>
    </row>
    <row r="123" spans="1:8" x14ac:dyDescent="0.25">
      <c r="A123" s="25">
        <v>123</v>
      </c>
      <c r="B123" s="5" t="s">
        <v>57</v>
      </c>
    </row>
    <row r="124" spans="1:8" x14ac:dyDescent="0.25">
      <c r="A124" s="25">
        <v>124</v>
      </c>
      <c r="B124" s="11" t="s">
        <v>72</v>
      </c>
      <c r="C124" s="11">
        <f>IstEsk*2*TruckCost</f>
        <v>720</v>
      </c>
      <c r="D124" s="11" t="s">
        <v>82</v>
      </c>
      <c r="E124" s="11" t="s">
        <v>77</v>
      </c>
      <c r="F124" s="12"/>
      <c r="G124" s="12"/>
      <c r="H124" s="13"/>
    </row>
    <row r="125" spans="1:8" x14ac:dyDescent="0.25">
      <c r="A125" s="25">
        <v>125</v>
      </c>
      <c r="B125" s="23" t="s">
        <v>76</v>
      </c>
      <c r="C125" s="1">
        <f>SQRT(2*C124*D_E/H)</f>
        <v>84.852813742385706</v>
      </c>
      <c r="D125" s="1" t="s">
        <v>14</v>
      </c>
      <c r="E125" s="1" t="s">
        <v>79</v>
      </c>
      <c r="H125" s="8"/>
    </row>
    <row r="126" spans="1:8" x14ac:dyDescent="0.25">
      <c r="A126" s="25">
        <v>126</v>
      </c>
      <c r="B126" s="23" t="s">
        <v>91</v>
      </c>
      <c r="C126" s="1">
        <f>C124*D_E/C125 + H*C125/2</f>
        <v>339.41125496954282</v>
      </c>
      <c r="D126" s="1" t="s">
        <v>37</v>
      </c>
      <c r="E126" s="2" t="s">
        <v>80</v>
      </c>
      <c r="H126" s="8"/>
    </row>
    <row r="127" spans="1:8" x14ac:dyDescent="0.25">
      <c r="A127" s="25">
        <v>127</v>
      </c>
      <c r="B127" s="23" t="s">
        <v>83</v>
      </c>
      <c r="C127" s="1">
        <f>D_E*h_RDC</f>
        <v>60</v>
      </c>
      <c r="D127" s="1" t="s">
        <v>37</v>
      </c>
      <c r="E127" s="2" t="s">
        <v>84</v>
      </c>
      <c r="H127" s="8"/>
    </row>
    <row r="128" spans="1:8" x14ac:dyDescent="0.25">
      <c r="A128" s="25">
        <v>128</v>
      </c>
      <c r="B128" s="15" t="s">
        <v>85</v>
      </c>
      <c r="C128" s="15">
        <f>SUM(C126:C127)</f>
        <v>399.41125496954282</v>
      </c>
      <c r="D128" s="15" t="s">
        <v>37</v>
      </c>
      <c r="E128" s="14"/>
      <c r="F128" s="14"/>
      <c r="G128" s="14"/>
      <c r="H128" s="10"/>
    </row>
    <row r="129" spans="1:9" x14ac:dyDescent="0.25">
      <c r="A129" s="25">
        <v>129</v>
      </c>
    </row>
    <row r="130" spans="1:9" x14ac:dyDescent="0.25">
      <c r="A130" s="25">
        <v>130</v>
      </c>
      <c r="B130" s="3" t="s">
        <v>86</v>
      </c>
      <c r="C130" s="3">
        <f>C128+C121</f>
        <v>1149.4112549695428</v>
      </c>
    </row>
    <row r="131" spans="1:9" x14ac:dyDescent="0.25">
      <c r="A131" s="25">
        <v>131</v>
      </c>
    </row>
    <row r="132" spans="1:9" x14ac:dyDescent="0.25">
      <c r="A132" s="25">
        <v>132</v>
      </c>
      <c r="B132" s="5" t="s">
        <v>88</v>
      </c>
    </row>
    <row r="133" spans="1:9" x14ac:dyDescent="0.25">
      <c r="A133" s="25">
        <v>133</v>
      </c>
      <c r="B133" s="11" t="s">
        <v>65</v>
      </c>
      <c r="C133" s="11">
        <f>(IstAnk+IstEsk+EskAnk)*TruckCost</f>
        <v>920</v>
      </c>
      <c r="D133" s="11" t="s">
        <v>82</v>
      </c>
      <c r="E133" s="12" t="s">
        <v>87</v>
      </c>
      <c r="F133" s="12"/>
      <c r="G133" s="12"/>
      <c r="H133" s="13"/>
    </row>
    <row r="134" spans="1:9" x14ac:dyDescent="0.25">
      <c r="A134" s="25">
        <v>134</v>
      </c>
      <c r="B134" s="23" t="s">
        <v>89</v>
      </c>
      <c r="C134" s="1">
        <f>SQRT(2*C133*(D_A+D_E)/H)</f>
        <v>179.4435844492636</v>
      </c>
      <c r="D134" s="1" t="s">
        <v>14</v>
      </c>
      <c r="E134" s="2" t="s">
        <v>90</v>
      </c>
      <c r="H134" s="8"/>
    </row>
    <row r="135" spans="1:9" x14ac:dyDescent="0.25">
      <c r="A135" s="25">
        <v>135</v>
      </c>
      <c r="B135" s="23"/>
      <c r="H135" s="8"/>
    </row>
    <row r="136" spans="1:9" x14ac:dyDescent="0.25">
      <c r="A136" s="25">
        <v>136</v>
      </c>
      <c r="B136" s="23" t="s">
        <v>192</v>
      </c>
      <c r="H136" s="8"/>
    </row>
    <row r="137" spans="1:9" x14ac:dyDescent="0.25">
      <c r="A137" s="25">
        <v>137</v>
      </c>
      <c r="B137" s="23"/>
      <c r="H137" s="8"/>
    </row>
    <row r="138" spans="1:9" x14ac:dyDescent="0.25">
      <c r="A138" s="25">
        <v>138</v>
      </c>
      <c r="B138" s="23" t="s">
        <v>93</v>
      </c>
      <c r="C138" s="1">
        <f>C133*(D_A+D_E)/TruckCap + H*TruckCap/2</f>
        <v>844</v>
      </c>
      <c r="D138" s="1" t="s">
        <v>37</v>
      </c>
      <c r="E138" s="2" t="s">
        <v>94</v>
      </c>
      <c r="H138" s="8"/>
    </row>
    <row r="139" spans="1:9" x14ac:dyDescent="0.25">
      <c r="A139" s="25">
        <v>139</v>
      </c>
      <c r="B139" s="23" t="s">
        <v>95</v>
      </c>
      <c r="C139" s="1">
        <f>(D_A+D_E)*h_Milkrun</f>
        <v>70</v>
      </c>
      <c r="D139" s="1" t="s">
        <v>37</v>
      </c>
      <c r="E139" s="1" t="s">
        <v>96</v>
      </c>
      <c r="H139" s="8"/>
    </row>
    <row r="140" spans="1:9" x14ac:dyDescent="0.25">
      <c r="A140" s="25">
        <v>140</v>
      </c>
      <c r="B140" s="15" t="s">
        <v>97</v>
      </c>
      <c r="C140" s="15">
        <f>SUM(C138:C139)</f>
        <v>914</v>
      </c>
      <c r="D140" s="15" t="s">
        <v>37</v>
      </c>
      <c r="E140" s="14"/>
      <c r="F140" s="14"/>
      <c r="G140" s="14"/>
      <c r="H140" s="10"/>
    </row>
    <row r="141" spans="1:9" x14ac:dyDescent="0.25">
      <c r="A141" s="25">
        <v>141</v>
      </c>
    </row>
    <row r="142" spans="1:9" x14ac:dyDescent="0.25">
      <c r="A142" s="25">
        <v>142</v>
      </c>
      <c r="B142" s="1" t="s">
        <v>126</v>
      </c>
    </row>
    <row r="143" spans="1:9" ht="14.4" thickBot="1" x14ac:dyDescent="0.3">
      <c r="A143" s="25">
        <v>143</v>
      </c>
    </row>
    <row r="144" spans="1:9" ht="14.4" thickBot="1" x14ac:dyDescent="0.3">
      <c r="A144" s="25">
        <v>144</v>
      </c>
      <c r="B144" s="32" t="s">
        <v>105</v>
      </c>
      <c r="C144" s="33"/>
      <c r="D144" s="33"/>
      <c r="E144" s="33"/>
      <c r="F144" s="33"/>
      <c r="G144" s="33"/>
      <c r="H144" s="33"/>
      <c r="I144" s="34"/>
    </row>
    <row r="145" spans="1:9" x14ac:dyDescent="0.25">
      <c r="A145" s="25">
        <v>145</v>
      </c>
    </row>
    <row r="146" spans="1:9" x14ac:dyDescent="0.25">
      <c r="A146" s="25">
        <v>146</v>
      </c>
      <c r="B146" s="1" t="s">
        <v>236</v>
      </c>
    </row>
    <row r="147" spans="1:9" x14ac:dyDescent="0.25">
      <c r="A147" s="25">
        <v>147</v>
      </c>
      <c r="B147" s="1" t="s">
        <v>238</v>
      </c>
    </row>
    <row r="148" spans="1:9" x14ac:dyDescent="0.25">
      <c r="A148" s="25">
        <v>148</v>
      </c>
      <c r="B148" s="1" t="s">
        <v>237</v>
      </c>
    </row>
    <row r="149" spans="1:9" ht="14.4" thickBot="1" x14ac:dyDescent="0.3">
      <c r="A149" s="25">
        <v>149</v>
      </c>
    </row>
    <row r="150" spans="1:9" ht="14.4" thickBot="1" x14ac:dyDescent="0.3">
      <c r="A150" s="25">
        <v>150</v>
      </c>
      <c r="B150" s="32" t="s">
        <v>115</v>
      </c>
      <c r="C150" s="33"/>
      <c r="D150" s="33"/>
      <c r="E150" s="33"/>
      <c r="F150" s="33"/>
      <c r="G150" s="33"/>
      <c r="H150" s="33"/>
      <c r="I150" s="34"/>
    </row>
    <row r="151" spans="1:9" x14ac:dyDescent="0.25">
      <c r="A151" s="25">
        <v>151</v>
      </c>
      <c r="B151" s="1" t="s">
        <v>229</v>
      </c>
    </row>
    <row r="152" spans="1:9" x14ac:dyDescent="0.25">
      <c r="A152" s="25">
        <v>152</v>
      </c>
      <c r="B152" s="22" t="s">
        <v>106</v>
      </c>
      <c r="C152" s="6" t="s">
        <v>2</v>
      </c>
      <c r="D152" s="6" t="s">
        <v>3</v>
      </c>
      <c r="E152" s="7" t="s">
        <v>47</v>
      </c>
    </row>
    <row r="153" spans="1:9" x14ac:dyDescent="0.25">
      <c r="A153" s="25">
        <v>153</v>
      </c>
      <c r="B153" s="23" t="s">
        <v>108</v>
      </c>
      <c r="C153" s="1">
        <v>15</v>
      </c>
      <c r="D153" s="1" t="s">
        <v>7</v>
      </c>
      <c r="E153" s="8" t="s">
        <v>107</v>
      </c>
    </row>
    <row r="154" spans="1:9" x14ac:dyDescent="0.25">
      <c r="A154" s="25">
        <v>154</v>
      </c>
      <c r="B154" s="23" t="s">
        <v>109</v>
      </c>
      <c r="C154" s="1">
        <v>5</v>
      </c>
      <c r="D154" s="1" t="s">
        <v>7</v>
      </c>
      <c r="E154" s="8" t="s">
        <v>124</v>
      </c>
    </row>
    <row r="155" spans="1:9" x14ac:dyDescent="0.25">
      <c r="A155" s="25">
        <v>155</v>
      </c>
      <c r="B155" s="23" t="s">
        <v>110</v>
      </c>
      <c r="C155" s="1">
        <v>1</v>
      </c>
      <c r="D155" s="1" t="s">
        <v>111</v>
      </c>
      <c r="E155" s="8" t="s">
        <v>112</v>
      </c>
    </row>
    <row r="156" spans="1:9" x14ac:dyDescent="0.25">
      <c r="A156" s="25">
        <v>156</v>
      </c>
      <c r="B156" s="23" t="s">
        <v>113</v>
      </c>
      <c r="C156" s="1">
        <v>0.95</v>
      </c>
      <c r="E156" s="8" t="s">
        <v>114</v>
      </c>
    </row>
    <row r="157" spans="1:9" x14ac:dyDescent="0.25">
      <c r="A157" s="25">
        <v>157</v>
      </c>
      <c r="B157" s="9" t="s">
        <v>117</v>
      </c>
      <c r="C157" s="9"/>
      <c r="D157" s="9"/>
      <c r="E157" s="10" t="s">
        <v>116</v>
      </c>
    </row>
    <row r="158" spans="1:9" x14ac:dyDescent="0.25">
      <c r="A158" s="25">
        <v>158</v>
      </c>
    </row>
    <row r="159" spans="1:9" x14ac:dyDescent="0.25">
      <c r="A159" s="25">
        <v>159</v>
      </c>
      <c r="B159" s="1" t="s">
        <v>100</v>
      </c>
      <c r="C159" s="1" t="s">
        <v>172</v>
      </c>
    </row>
    <row r="160" spans="1:9" x14ac:dyDescent="0.25">
      <c r="A160" s="25">
        <v>160</v>
      </c>
      <c r="C160" s="1" t="s">
        <v>101</v>
      </c>
    </row>
    <row r="161" spans="1:8" x14ac:dyDescent="0.25">
      <c r="A161" s="25">
        <v>161</v>
      </c>
      <c r="C161" s="1" t="s">
        <v>102</v>
      </c>
    </row>
    <row r="162" spans="1:8" x14ac:dyDescent="0.25">
      <c r="A162" s="25">
        <v>162</v>
      </c>
    </row>
    <row r="163" spans="1:8" x14ac:dyDescent="0.25">
      <c r="A163" s="25">
        <v>163</v>
      </c>
      <c r="B163" s="1" t="s">
        <v>123</v>
      </c>
    </row>
    <row r="164" spans="1:8" x14ac:dyDescent="0.25">
      <c r="A164" s="25">
        <v>164</v>
      </c>
      <c r="B164" s="11" t="s">
        <v>173</v>
      </c>
      <c r="C164" s="11"/>
      <c r="D164" s="11"/>
      <c r="E164" s="12"/>
      <c r="F164" s="12"/>
      <c r="G164" s="12"/>
      <c r="H164" s="13"/>
    </row>
    <row r="165" spans="1:8" x14ac:dyDescent="0.25">
      <c r="A165" s="25">
        <v>165</v>
      </c>
      <c r="B165" s="23" t="s">
        <v>63</v>
      </c>
      <c r="C165" s="1" t="s">
        <v>121</v>
      </c>
      <c r="H165" s="8"/>
    </row>
    <row r="166" spans="1:8" x14ac:dyDescent="0.25">
      <c r="A166" s="25">
        <v>166</v>
      </c>
      <c r="B166" s="23" t="s">
        <v>119</v>
      </c>
      <c r="C166" s="1" t="s">
        <v>118</v>
      </c>
      <c r="H166" s="8"/>
    </row>
    <row r="167" spans="1:8" x14ac:dyDescent="0.25">
      <c r="A167" s="25">
        <v>167</v>
      </c>
      <c r="B167" s="23" t="s">
        <v>230</v>
      </c>
      <c r="C167" s="1" t="s">
        <v>162</v>
      </c>
      <c r="H167" s="8"/>
    </row>
    <row r="168" spans="1:8" x14ac:dyDescent="0.25">
      <c r="A168" s="25">
        <v>168</v>
      </c>
      <c r="B168" s="23" t="s">
        <v>231</v>
      </c>
      <c r="C168" s="1" t="s">
        <v>165</v>
      </c>
      <c r="H168" s="8"/>
    </row>
    <row r="169" spans="1:8" x14ac:dyDescent="0.25">
      <c r="A169" s="25">
        <v>169</v>
      </c>
      <c r="B169" s="23" t="s">
        <v>231</v>
      </c>
      <c r="C169" s="1" t="s">
        <v>166</v>
      </c>
      <c r="H169" s="8"/>
    </row>
    <row r="170" spans="1:8" x14ac:dyDescent="0.25">
      <c r="A170" s="25">
        <v>170</v>
      </c>
      <c r="B170" s="23" t="s">
        <v>231</v>
      </c>
      <c r="C170" s="1" t="s">
        <v>167</v>
      </c>
      <c r="H170" s="8"/>
    </row>
    <row r="171" spans="1:8" x14ac:dyDescent="0.25">
      <c r="A171" s="25">
        <v>171</v>
      </c>
      <c r="B171" s="23" t="s">
        <v>153</v>
      </c>
      <c r="C171" s="1" t="s">
        <v>122</v>
      </c>
      <c r="H171" s="8"/>
    </row>
    <row r="172" spans="1:8" x14ac:dyDescent="0.25">
      <c r="A172" s="25">
        <v>172</v>
      </c>
      <c r="B172" s="23"/>
      <c r="H172" s="8"/>
    </row>
    <row r="173" spans="1:8" x14ac:dyDescent="0.25">
      <c r="A173" s="25">
        <v>173</v>
      </c>
      <c r="B173" s="23" t="s">
        <v>174</v>
      </c>
      <c r="H173" s="8"/>
    </row>
    <row r="174" spans="1:8" x14ac:dyDescent="0.25">
      <c r="A174" s="25">
        <v>174</v>
      </c>
      <c r="B174" s="23"/>
      <c r="H174" s="8"/>
    </row>
    <row r="175" spans="1:8" x14ac:dyDescent="0.25">
      <c r="A175" s="25">
        <v>175</v>
      </c>
      <c r="B175" s="24" t="s">
        <v>144</v>
      </c>
      <c r="H175" s="8"/>
    </row>
    <row r="176" spans="1:8" x14ac:dyDescent="0.25">
      <c r="A176" s="25">
        <v>176</v>
      </c>
      <c r="B176" s="23" t="s">
        <v>142</v>
      </c>
      <c r="H176" s="8"/>
    </row>
    <row r="177" spans="1:9" x14ac:dyDescent="0.25">
      <c r="A177" s="25">
        <v>177</v>
      </c>
      <c r="B177" s="23" t="s">
        <v>143</v>
      </c>
      <c r="H177" s="8"/>
    </row>
    <row r="178" spans="1:9" x14ac:dyDescent="0.25">
      <c r="A178" s="25">
        <v>178</v>
      </c>
      <c r="B178" s="23"/>
      <c r="H178" s="8"/>
    </row>
    <row r="179" spans="1:9" x14ac:dyDescent="0.25">
      <c r="A179" s="25">
        <v>179</v>
      </c>
      <c r="B179" s="23"/>
      <c r="H179" s="8"/>
    </row>
    <row r="180" spans="1:9" x14ac:dyDescent="0.25">
      <c r="A180" s="25">
        <v>180</v>
      </c>
      <c r="B180" s="24" t="s">
        <v>159</v>
      </c>
      <c r="H180" s="8"/>
    </row>
    <row r="181" spans="1:9" x14ac:dyDescent="0.25">
      <c r="A181" s="25">
        <v>181</v>
      </c>
      <c r="B181" s="23" t="s">
        <v>145</v>
      </c>
      <c r="H181" s="8"/>
    </row>
    <row r="182" spans="1:9" x14ac:dyDescent="0.25">
      <c r="A182" s="25">
        <v>182</v>
      </c>
      <c r="B182" s="23" t="s">
        <v>175</v>
      </c>
      <c r="H182" s="8"/>
    </row>
    <row r="183" spans="1:9" x14ac:dyDescent="0.25">
      <c r="A183" s="25">
        <v>183</v>
      </c>
      <c r="B183" s="23" t="s">
        <v>157</v>
      </c>
      <c r="H183" s="8"/>
    </row>
    <row r="184" spans="1:9" x14ac:dyDescent="0.25">
      <c r="A184" s="25">
        <v>184</v>
      </c>
      <c r="B184" s="23" t="s">
        <v>158</v>
      </c>
      <c r="H184" s="8"/>
    </row>
    <row r="185" spans="1:9" x14ac:dyDescent="0.25">
      <c r="A185" s="25">
        <v>185</v>
      </c>
      <c r="B185" s="23" t="s">
        <v>176</v>
      </c>
      <c r="H185" s="8"/>
    </row>
    <row r="186" spans="1:9" x14ac:dyDescent="0.25">
      <c r="A186" s="25">
        <v>186</v>
      </c>
      <c r="B186" s="27" t="s">
        <v>177</v>
      </c>
      <c r="C186" s="9"/>
      <c r="D186" s="9"/>
      <c r="E186" s="14"/>
      <c r="F186" s="14"/>
      <c r="G186" s="14"/>
      <c r="H186" s="10"/>
    </row>
    <row r="187" spans="1:9" ht="14.4" thickBot="1" x14ac:dyDescent="0.3">
      <c r="A187" s="25">
        <v>187</v>
      </c>
    </row>
    <row r="188" spans="1:9" ht="14.4" thickBot="1" x14ac:dyDescent="0.3">
      <c r="A188" s="25">
        <v>188</v>
      </c>
      <c r="B188" s="32" t="s">
        <v>146</v>
      </c>
      <c r="C188" s="33"/>
      <c r="D188" s="33"/>
      <c r="E188" s="33"/>
      <c r="F188" s="33"/>
      <c r="G188" s="33"/>
      <c r="H188" s="33"/>
      <c r="I188" s="34"/>
    </row>
    <row r="189" spans="1:9" x14ac:dyDescent="0.25">
      <c r="A189" s="25">
        <v>189</v>
      </c>
      <c r="B189" s="1" t="s">
        <v>232</v>
      </c>
    </row>
    <row r="190" spans="1:9" x14ac:dyDescent="0.25">
      <c r="A190" s="25">
        <v>190</v>
      </c>
      <c r="B190" s="5" t="s">
        <v>36</v>
      </c>
    </row>
    <row r="191" spans="1:9" x14ac:dyDescent="0.25">
      <c r="A191" s="25">
        <v>191</v>
      </c>
      <c r="B191" s="1" t="s">
        <v>147</v>
      </c>
      <c r="C191" s="1">
        <v>1</v>
      </c>
    </row>
    <row r="192" spans="1:9" x14ac:dyDescent="0.25">
      <c r="A192" s="25">
        <v>192</v>
      </c>
      <c r="B192" s="11" t="s">
        <v>63</v>
      </c>
      <c r="C192" s="11">
        <f>C191*D_A</f>
        <v>50</v>
      </c>
      <c r="D192" s="11" t="s">
        <v>152</v>
      </c>
      <c r="E192" s="12"/>
      <c r="F192" s="12"/>
      <c r="G192" s="12"/>
      <c r="H192" s="13"/>
    </row>
    <row r="193" spans="1:8" x14ac:dyDescent="0.25">
      <c r="A193" s="25">
        <v>193</v>
      </c>
      <c r="B193" s="23" t="s">
        <v>154</v>
      </c>
      <c r="C193" s="1">
        <f xml:space="preserve"> (IstAnk*2)*TruckCost/C191</f>
        <v>800</v>
      </c>
      <c r="D193" s="1" t="s">
        <v>37</v>
      </c>
      <c r="E193" s="26"/>
      <c r="H193" s="8"/>
    </row>
    <row r="194" spans="1:8" x14ac:dyDescent="0.25">
      <c r="A194" s="25">
        <v>194</v>
      </c>
      <c r="B194" s="23" t="s">
        <v>120</v>
      </c>
      <c r="C194" s="1">
        <f xml:space="preserve"> D_A * (C191-1) / 2</f>
        <v>0</v>
      </c>
      <c r="D194" s="1" t="s">
        <v>37</v>
      </c>
      <c r="E194" s="26"/>
      <c r="H194" s="8"/>
    </row>
    <row r="195" spans="1:8" x14ac:dyDescent="0.25">
      <c r="A195" s="25">
        <v>195</v>
      </c>
      <c r="B195" s="23" t="s">
        <v>153</v>
      </c>
      <c r="C195" s="1">
        <f>D_A*h_RDC</f>
        <v>150</v>
      </c>
      <c r="D195" s="1" t="s">
        <v>37</v>
      </c>
      <c r="H195" s="8"/>
    </row>
    <row r="196" spans="1:8" x14ac:dyDescent="0.25">
      <c r="A196" s="25">
        <v>196</v>
      </c>
      <c r="B196" s="23" t="s">
        <v>148</v>
      </c>
      <c r="C196" s="1">
        <f>(1-fr)*C192</f>
        <v>2.5000000000000022</v>
      </c>
      <c r="D196" s="1" t="s">
        <v>155</v>
      </c>
      <c r="H196" s="8"/>
    </row>
    <row r="197" spans="1:8" x14ac:dyDescent="0.25">
      <c r="A197" s="25">
        <v>197</v>
      </c>
      <c r="B197" s="23" t="s">
        <v>149</v>
      </c>
      <c r="C197" s="1">
        <f>C196/(SQRT(C191+L)*Sigma_A)</f>
        <v>0.11785113019775802</v>
      </c>
      <c r="H197" s="8"/>
    </row>
    <row r="198" spans="1:8" x14ac:dyDescent="0.25">
      <c r="A198" s="25">
        <v>198</v>
      </c>
      <c r="B198" s="23" t="s">
        <v>150</v>
      </c>
      <c r="C198" s="1">
        <v>0.81</v>
      </c>
      <c r="E198" s="1" t="s">
        <v>151</v>
      </c>
      <c r="H198" s="8"/>
    </row>
    <row r="199" spans="1:8" x14ac:dyDescent="0.25">
      <c r="A199" s="25">
        <v>199</v>
      </c>
      <c r="B199" s="23" t="s">
        <v>156</v>
      </c>
      <c r="C199" s="1">
        <f>C198*SQRT(C191+L)*Sigma_A</f>
        <v>17.182694782833106</v>
      </c>
      <c r="H199" s="8"/>
    </row>
    <row r="200" spans="1:8" x14ac:dyDescent="0.25">
      <c r="A200" s="25">
        <v>200</v>
      </c>
      <c r="B200" s="23" t="s">
        <v>160</v>
      </c>
      <c r="C200" s="1">
        <f>C199*H</f>
        <v>68.730779131332426</v>
      </c>
      <c r="H200" s="8"/>
    </row>
    <row r="201" spans="1:8" x14ac:dyDescent="0.25">
      <c r="A201" s="25">
        <v>201</v>
      </c>
      <c r="B201" s="9" t="s">
        <v>85</v>
      </c>
      <c r="C201" s="9">
        <f>C200+C193+C194+C195</f>
        <v>1018.7307791313324</v>
      </c>
      <c r="D201" s="9"/>
      <c r="E201" s="14"/>
      <c r="F201" s="14"/>
      <c r="G201" s="14"/>
      <c r="H201" s="10"/>
    </row>
    <row r="202" spans="1:8" x14ac:dyDescent="0.25">
      <c r="A202" s="25">
        <v>202</v>
      </c>
    </row>
    <row r="203" spans="1:8" x14ac:dyDescent="0.25">
      <c r="A203" s="25">
        <v>203</v>
      </c>
      <c r="B203" s="1" t="s">
        <v>147</v>
      </c>
      <c r="C203" s="1">
        <v>2</v>
      </c>
    </row>
    <row r="204" spans="1:8" x14ac:dyDescent="0.25">
      <c r="A204" s="25">
        <v>204</v>
      </c>
      <c r="B204" s="11" t="s">
        <v>63</v>
      </c>
      <c r="C204" s="11">
        <f>C203*D_A</f>
        <v>100</v>
      </c>
      <c r="D204" s="11" t="s">
        <v>152</v>
      </c>
      <c r="E204" s="12"/>
      <c r="F204" s="12"/>
      <c r="G204" s="12"/>
      <c r="H204" s="13"/>
    </row>
    <row r="205" spans="1:8" x14ac:dyDescent="0.25">
      <c r="A205" s="25">
        <v>205</v>
      </c>
      <c r="B205" s="23" t="s">
        <v>154</v>
      </c>
      <c r="C205" s="1">
        <f xml:space="preserve"> (IstAnk*2)*TruckCost/C203</f>
        <v>400</v>
      </c>
      <c r="D205" s="1" t="s">
        <v>37</v>
      </c>
      <c r="H205" s="8"/>
    </row>
    <row r="206" spans="1:8" x14ac:dyDescent="0.25">
      <c r="A206" s="25">
        <v>206</v>
      </c>
      <c r="B206" s="23" t="s">
        <v>120</v>
      </c>
      <c r="C206" s="1">
        <f xml:space="preserve"> D_A * (C203-1) *H / 2</f>
        <v>100</v>
      </c>
      <c r="D206" s="1" t="s">
        <v>37</v>
      </c>
      <c r="H206" s="8"/>
    </row>
    <row r="207" spans="1:8" x14ac:dyDescent="0.25">
      <c r="A207" s="25">
        <v>207</v>
      </c>
      <c r="B207" s="23" t="s">
        <v>153</v>
      </c>
      <c r="C207" s="1">
        <f>D_A*h_RDC</f>
        <v>150</v>
      </c>
      <c r="D207" s="1" t="s">
        <v>37</v>
      </c>
      <c r="H207" s="8"/>
    </row>
    <row r="208" spans="1:8" x14ac:dyDescent="0.25">
      <c r="A208" s="25">
        <v>208</v>
      </c>
      <c r="B208" s="23" t="s">
        <v>148</v>
      </c>
      <c r="C208" s="1">
        <f>(1-fr)*C204</f>
        <v>5.0000000000000044</v>
      </c>
      <c r="D208" s="1" t="s">
        <v>155</v>
      </c>
      <c r="H208" s="8"/>
    </row>
    <row r="209" spans="1:8" x14ac:dyDescent="0.25">
      <c r="A209" s="25">
        <v>209</v>
      </c>
      <c r="B209" s="23" t="s">
        <v>149</v>
      </c>
      <c r="C209" s="1">
        <f>C208/(SQRT(C203+L)*Sigma_A)</f>
        <v>0.19245008972987546</v>
      </c>
      <c r="H209" s="8"/>
    </row>
    <row r="210" spans="1:8" x14ac:dyDescent="0.25">
      <c r="A210" s="25">
        <v>210</v>
      </c>
      <c r="B210" s="23" t="s">
        <v>150</v>
      </c>
      <c r="C210" s="1">
        <v>0.51</v>
      </c>
      <c r="E210" s="1" t="s">
        <v>151</v>
      </c>
      <c r="H210" s="8"/>
    </row>
    <row r="211" spans="1:8" x14ac:dyDescent="0.25">
      <c r="A211" s="25">
        <v>211</v>
      </c>
      <c r="B211" s="23" t="s">
        <v>156</v>
      </c>
      <c r="C211" s="1">
        <f>C210*SQRT(C203+L)*Sigma_A</f>
        <v>13.25018867790191</v>
      </c>
      <c r="H211" s="8"/>
    </row>
    <row r="212" spans="1:8" x14ac:dyDescent="0.25">
      <c r="A212" s="25">
        <v>212</v>
      </c>
      <c r="B212" s="23" t="s">
        <v>178</v>
      </c>
      <c r="C212" s="1">
        <f>C211*H</f>
        <v>53.000754711607641</v>
      </c>
      <c r="H212" s="8"/>
    </row>
    <row r="213" spans="1:8" x14ac:dyDescent="0.25">
      <c r="A213" s="25">
        <v>213</v>
      </c>
      <c r="B213" s="15" t="s">
        <v>85</v>
      </c>
      <c r="C213" s="15">
        <f>C212+C205+C206+C207</f>
        <v>703.00075471160767</v>
      </c>
      <c r="D213" s="9"/>
      <c r="E213" s="14"/>
      <c r="F213" s="14"/>
      <c r="G213" s="14"/>
      <c r="H213" s="10"/>
    </row>
    <row r="214" spans="1:8" x14ac:dyDescent="0.25">
      <c r="A214" s="25">
        <v>214</v>
      </c>
      <c r="B214" s="1" t="s">
        <v>183</v>
      </c>
    </row>
    <row r="215" spans="1:8" x14ac:dyDescent="0.25">
      <c r="A215" s="25">
        <v>215</v>
      </c>
    </row>
    <row r="216" spans="1:8" x14ac:dyDescent="0.25">
      <c r="A216" s="25">
        <v>216</v>
      </c>
      <c r="B216" s="5" t="s">
        <v>161</v>
      </c>
    </row>
    <row r="217" spans="1:8" x14ac:dyDescent="0.25">
      <c r="A217" s="25">
        <v>217</v>
      </c>
      <c r="B217" s="1" t="s">
        <v>147</v>
      </c>
      <c r="C217" s="1">
        <v>1</v>
      </c>
    </row>
    <row r="218" spans="1:8" x14ac:dyDescent="0.25">
      <c r="A218" s="25">
        <v>218</v>
      </c>
      <c r="B218" s="11" t="s">
        <v>63</v>
      </c>
      <c r="C218" s="11">
        <f>C217*D_E</f>
        <v>20</v>
      </c>
      <c r="D218" s="11" t="s">
        <v>152</v>
      </c>
      <c r="E218" s="12"/>
      <c r="F218" s="12"/>
      <c r="G218" s="12"/>
      <c r="H218" s="13"/>
    </row>
    <row r="219" spans="1:8" x14ac:dyDescent="0.25">
      <c r="A219" s="25">
        <v>219</v>
      </c>
      <c r="B219" s="23" t="s">
        <v>154</v>
      </c>
      <c r="C219" s="1">
        <f xml:space="preserve"> (IstEsk*2)*TruckCost/C217</f>
        <v>720</v>
      </c>
      <c r="D219" s="1" t="s">
        <v>37</v>
      </c>
      <c r="H219" s="8"/>
    </row>
    <row r="220" spans="1:8" x14ac:dyDescent="0.25">
      <c r="A220" s="25">
        <v>220</v>
      </c>
      <c r="B220" s="23" t="s">
        <v>120</v>
      </c>
      <c r="C220" s="1">
        <f xml:space="preserve"> D_E * (C217-1) * H / 2</f>
        <v>0</v>
      </c>
      <c r="D220" s="1" t="s">
        <v>37</v>
      </c>
      <c r="H220" s="8"/>
    </row>
    <row r="221" spans="1:8" x14ac:dyDescent="0.25">
      <c r="A221" s="25">
        <v>221</v>
      </c>
      <c r="B221" s="23" t="s">
        <v>153</v>
      </c>
      <c r="C221" s="1">
        <f>D_E*h_RDC</f>
        <v>60</v>
      </c>
      <c r="D221" s="1" t="s">
        <v>37</v>
      </c>
      <c r="H221" s="8"/>
    </row>
    <row r="222" spans="1:8" x14ac:dyDescent="0.25">
      <c r="A222" s="25">
        <v>222</v>
      </c>
      <c r="B222" s="23" t="s">
        <v>148</v>
      </c>
      <c r="C222" s="1">
        <f>(1-fr)*C218</f>
        <v>1.0000000000000009</v>
      </c>
      <c r="D222" s="1" t="s">
        <v>155</v>
      </c>
      <c r="H222" s="8"/>
    </row>
    <row r="223" spans="1:8" x14ac:dyDescent="0.25">
      <c r="A223" s="25">
        <v>223</v>
      </c>
      <c r="B223" s="23" t="s">
        <v>149</v>
      </c>
      <c r="C223" s="1">
        <f>C222/(SQRT(C217+L)*Sigma_E)</f>
        <v>0.14142135623730961</v>
      </c>
      <c r="E223" s="26"/>
      <c r="H223" s="8"/>
    </row>
    <row r="224" spans="1:8" x14ac:dyDescent="0.25">
      <c r="A224" s="25">
        <v>224</v>
      </c>
      <c r="B224" s="23" t="s">
        <v>150</v>
      </c>
      <c r="C224" s="1">
        <v>0.7</v>
      </c>
      <c r="E224" s="1" t="s">
        <v>151</v>
      </c>
      <c r="H224" s="8"/>
    </row>
    <row r="225" spans="1:8" x14ac:dyDescent="0.25">
      <c r="A225" s="25">
        <v>225</v>
      </c>
      <c r="B225" s="23" t="s">
        <v>156</v>
      </c>
      <c r="C225" s="1">
        <f>C224*SQRT(C217+L)*Sigma_E</f>
        <v>4.9497474683058327</v>
      </c>
      <c r="H225" s="8"/>
    </row>
    <row r="226" spans="1:8" x14ac:dyDescent="0.25">
      <c r="A226" s="25">
        <v>226</v>
      </c>
      <c r="B226" s="23" t="s">
        <v>160</v>
      </c>
      <c r="C226" s="1">
        <f>C225*H</f>
        <v>19.798989873223331</v>
      </c>
      <c r="H226" s="8"/>
    </row>
    <row r="227" spans="1:8" x14ac:dyDescent="0.25">
      <c r="A227" s="25">
        <v>227</v>
      </c>
      <c r="B227" s="9" t="s">
        <v>85</v>
      </c>
      <c r="C227" s="9">
        <f>C226+C219+C220+C221</f>
        <v>799.79898987322338</v>
      </c>
      <c r="D227" s="9"/>
      <c r="E227" s="14"/>
      <c r="F227" s="14"/>
      <c r="G227" s="14"/>
      <c r="H227" s="10"/>
    </row>
    <row r="228" spans="1:8" x14ac:dyDescent="0.25">
      <c r="A228" s="25">
        <v>228</v>
      </c>
    </row>
    <row r="229" spans="1:8" x14ac:dyDescent="0.25">
      <c r="A229" s="25">
        <v>229</v>
      </c>
      <c r="B229" s="1" t="s">
        <v>179</v>
      </c>
      <c r="C229" s="1">
        <v>2</v>
      </c>
    </row>
    <row r="230" spans="1:8" x14ac:dyDescent="0.25">
      <c r="A230" s="25">
        <v>230</v>
      </c>
      <c r="B230" s="11" t="s">
        <v>63</v>
      </c>
      <c r="C230" s="11">
        <f>C229*D_E</f>
        <v>40</v>
      </c>
      <c r="D230" s="11" t="s">
        <v>152</v>
      </c>
      <c r="E230" s="12"/>
      <c r="F230" s="12"/>
      <c r="G230" s="12"/>
      <c r="H230" s="13"/>
    </row>
    <row r="231" spans="1:8" x14ac:dyDescent="0.25">
      <c r="A231" s="25">
        <v>231</v>
      </c>
      <c r="B231" s="23" t="s">
        <v>154</v>
      </c>
      <c r="C231" s="1">
        <f xml:space="preserve"> (IstEsk*2)*TruckCost/C229</f>
        <v>360</v>
      </c>
      <c r="D231" s="1" t="s">
        <v>37</v>
      </c>
      <c r="H231" s="8"/>
    </row>
    <row r="232" spans="1:8" x14ac:dyDescent="0.25">
      <c r="A232" s="25">
        <v>232</v>
      </c>
      <c r="B232" s="23" t="s">
        <v>120</v>
      </c>
      <c r="C232" s="1">
        <f xml:space="preserve"> D_E * (C229-1) * H / 2</f>
        <v>40</v>
      </c>
      <c r="D232" s="1" t="s">
        <v>37</v>
      </c>
      <c r="H232" s="8"/>
    </row>
    <row r="233" spans="1:8" x14ac:dyDescent="0.25">
      <c r="A233" s="25">
        <v>233</v>
      </c>
      <c r="B233" s="23" t="s">
        <v>153</v>
      </c>
      <c r="C233" s="1">
        <f>D_E*h_RDC</f>
        <v>60</v>
      </c>
      <c r="D233" s="1" t="s">
        <v>37</v>
      </c>
      <c r="H233" s="8"/>
    </row>
    <row r="234" spans="1:8" x14ac:dyDescent="0.25">
      <c r="A234" s="25">
        <v>234</v>
      </c>
      <c r="B234" s="23" t="s">
        <v>148</v>
      </c>
      <c r="C234" s="1">
        <f>(1-fr)*C230</f>
        <v>2.0000000000000018</v>
      </c>
      <c r="D234" s="1" t="s">
        <v>155</v>
      </c>
      <c r="H234" s="8"/>
    </row>
    <row r="235" spans="1:8" x14ac:dyDescent="0.25">
      <c r="A235" s="25">
        <v>235</v>
      </c>
      <c r="B235" s="23" t="s">
        <v>149</v>
      </c>
      <c r="C235" s="1">
        <f>C234/(SQRT(C229+L)*Sigma_E)</f>
        <v>0.23094010767585055</v>
      </c>
      <c r="H235" s="8"/>
    </row>
    <row r="236" spans="1:8" x14ac:dyDescent="0.25">
      <c r="A236" s="25">
        <v>236</v>
      </c>
      <c r="B236" s="23" t="s">
        <v>150</v>
      </c>
      <c r="C236" s="1">
        <v>0.4</v>
      </c>
      <c r="E236" s="1" t="s">
        <v>151</v>
      </c>
      <c r="H236" s="8"/>
    </row>
    <row r="237" spans="1:8" x14ac:dyDescent="0.25">
      <c r="A237" s="25">
        <v>237</v>
      </c>
      <c r="B237" s="23" t="s">
        <v>156</v>
      </c>
      <c r="C237" s="1">
        <f>C236*SQRT(C229+L)*Sigma_E</f>
        <v>3.4641016151377544</v>
      </c>
      <c r="H237" s="8"/>
    </row>
    <row r="238" spans="1:8" x14ac:dyDescent="0.25">
      <c r="A238" s="25">
        <v>238</v>
      </c>
      <c r="B238" s="23" t="s">
        <v>160</v>
      </c>
      <c r="C238" s="1">
        <f>C237*H</f>
        <v>13.856406460551018</v>
      </c>
      <c r="H238" s="8"/>
    </row>
    <row r="239" spans="1:8" x14ac:dyDescent="0.25">
      <c r="A239" s="25">
        <v>239</v>
      </c>
      <c r="B239" s="9" t="s">
        <v>85</v>
      </c>
      <c r="C239" s="9">
        <f>C238+C231+C232+C233</f>
        <v>473.856406460551</v>
      </c>
      <c r="D239" s="9"/>
      <c r="E239" s="14"/>
      <c r="F239" s="14"/>
      <c r="G239" s="14"/>
      <c r="H239" s="10"/>
    </row>
    <row r="240" spans="1:8" x14ac:dyDescent="0.25">
      <c r="A240" s="25">
        <v>240</v>
      </c>
    </row>
    <row r="241" spans="1:8" x14ac:dyDescent="0.25">
      <c r="A241" s="25">
        <v>241</v>
      </c>
      <c r="B241" s="1" t="s">
        <v>180</v>
      </c>
      <c r="C241" s="1">
        <v>3</v>
      </c>
    </row>
    <row r="242" spans="1:8" x14ac:dyDescent="0.25">
      <c r="A242" s="25">
        <v>242</v>
      </c>
      <c r="B242" s="11" t="s">
        <v>63</v>
      </c>
      <c r="C242" s="11">
        <f>C241*D_E</f>
        <v>60</v>
      </c>
      <c r="D242" s="11" t="s">
        <v>152</v>
      </c>
      <c r="E242" s="12"/>
      <c r="F242" s="12"/>
      <c r="G242" s="12"/>
      <c r="H242" s="13"/>
    </row>
    <row r="243" spans="1:8" x14ac:dyDescent="0.25">
      <c r="A243" s="25">
        <v>243</v>
      </c>
      <c r="B243" s="23" t="s">
        <v>154</v>
      </c>
      <c r="C243" s="1">
        <f xml:space="preserve"> (IstEsk*2)*TruckCost/C241</f>
        <v>240</v>
      </c>
      <c r="D243" s="1" t="s">
        <v>37</v>
      </c>
      <c r="H243" s="8"/>
    </row>
    <row r="244" spans="1:8" x14ac:dyDescent="0.25">
      <c r="A244" s="25">
        <v>244</v>
      </c>
      <c r="B244" s="23" t="s">
        <v>120</v>
      </c>
      <c r="C244" s="1">
        <f xml:space="preserve"> D_E * (C241-1) * H / 2</f>
        <v>80</v>
      </c>
      <c r="D244" s="1" t="s">
        <v>37</v>
      </c>
      <c r="H244" s="8"/>
    </row>
    <row r="245" spans="1:8" x14ac:dyDescent="0.25">
      <c r="A245" s="25">
        <v>245</v>
      </c>
      <c r="B245" s="23" t="s">
        <v>153</v>
      </c>
      <c r="C245" s="1">
        <f>D_E*h_RDC</f>
        <v>60</v>
      </c>
      <c r="D245" s="1" t="s">
        <v>37</v>
      </c>
      <c r="H245" s="8"/>
    </row>
    <row r="246" spans="1:8" x14ac:dyDescent="0.25">
      <c r="A246" s="25">
        <v>246</v>
      </c>
      <c r="B246" s="23" t="s">
        <v>148</v>
      </c>
      <c r="C246" s="1">
        <f>(1-fr)*C242</f>
        <v>3.0000000000000027</v>
      </c>
      <c r="D246" s="1" t="s">
        <v>155</v>
      </c>
      <c r="H246" s="8"/>
    </row>
    <row r="247" spans="1:8" x14ac:dyDescent="0.25">
      <c r="A247" s="25">
        <v>247</v>
      </c>
      <c r="B247" s="23" t="s">
        <v>149</v>
      </c>
      <c r="C247" s="1">
        <f>C246/(SQRT(C241+L)*Sigma_E)</f>
        <v>0.30000000000000027</v>
      </c>
      <c r="H247" s="8"/>
    </row>
    <row r="248" spans="1:8" x14ac:dyDescent="0.25">
      <c r="A248" s="25">
        <v>248</v>
      </c>
      <c r="B248" s="23" t="s">
        <v>150</v>
      </c>
      <c r="C248" s="1">
        <v>0.22</v>
      </c>
      <c r="E248" s="1" t="s">
        <v>151</v>
      </c>
      <c r="H248" s="8"/>
    </row>
    <row r="249" spans="1:8" x14ac:dyDescent="0.25">
      <c r="A249" s="25">
        <v>249</v>
      </c>
      <c r="B249" s="23" t="s">
        <v>156</v>
      </c>
      <c r="C249" s="1">
        <f>C248*SQRT(C241+L)*Sigma_E</f>
        <v>2.2000000000000002</v>
      </c>
      <c r="H249" s="8"/>
    </row>
    <row r="250" spans="1:8" x14ac:dyDescent="0.25">
      <c r="A250" s="25">
        <v>250</v>
      </c>
      <c r="B250" s="23" t="s">
        <v>160</v>
      </c>
      <c r="C250" s="1">
        <f>C249*H</f>
        <v>8.8000000000000007</v>
      </c>
      <c r="H250" s="8"/>
    </row>
    <row r="251" spans="1:8" x14ac:dyDescent="0.25">
      <c r="A251" s="25">
        <v>251</v>
      </c>
      <c r="B251" s="9" t="s">
        <v>85</v>
      </c>
      <c r="C251" s="9">
        <f>C250+C243+C244+C245</f>
        <v>388.8</v>
      </c>
      <c r="D251" s="9"/>
      <c r="E251" s="14"/>
      <c r="F251" s="14"/>
      <c r="G251" s="14"/>
      <c r="H251" s="10"/>
    </row>
    <row r="252" spans="1:8" x14ac:dyDescent="0.25">
      <c r="A252" s="25">
        <v>252</v>
      </c>
    </row>
    <row r="253" spans="1:8" x14ac:dyDescent="0.25">
      <c r="A253" s="25">
        <v>253</v>
      </c>
      <c r="B253" s="1" t="s">
        <v>181</v>
      </c>
      <c r="C253" s="1">
        <v>4</v>
      </c>
    </row>
    <row r="254" spans="1:8" x14ac:dyDescent="0.25">
      <c r="A254" s="25">
        <v>254</v>
      </c>
      <c r="B254" s="11" t="s">
        <v>63</v>
      </c>
      <c r="C254" s="11">
        <f>C253*D_E</f>
        <v>80</v>
      </c>
      <c r="D254" s="11" t="s">
        <v>152</v>
      </c>
      <c r="E254" s="12"/>
      <c r="F254" s="12"/>
      <c r="G254" s="12"/>
      <c r="H254" s="13"/>
    </row>
    <row r="255" spans="1:8" x14ac:dyDescent="0.25">
      <c r="A255" s="25">
        <v>255</v>
      </c>
      <c r="B255" s="23" t="s">
        <v>154</v>
      </c>
      <c r="C255" s="1">
        <f xml:space="preserve"> (IstEsk*2)*TruckCost/C253</f>
        <v>180</v>
      </c>
      <c r="D255" s="1" t="s">
        <v>37</v>
      </c>
      <c r="H255" s="8"/>
    </row>
    <row r="256" spans="1:8" x14ac:dyDescent="0.25">
      <c r="A256" s="25">
        <v>256</v>
      </c>
      <c r="B256" s="23" t="s">
        <v>120</v>
      </c>
      <c r="C256" s="1">
        <f xml:space="preserve"> D_E * (C253-1) * H / 2</f>
        <v>120</v>
      </c>
      <c r="D256" s="1" t="s">
        <v>37</v>
      </c>
      <c r="H256" s="8"/>
    </row>
    <row r="257" spans="1:8" x14ac:dyDescent="0.25">
      <c r="A257" s="25">
        <v>257</v>
      </c>
      <c r="B257" s="23" t="s">
        <v>153</v>
      </c>
      <c r="C257" s="1">
        <f>D_E*h_RDC</f>
        <v>60</v>
      </c>
      <c r="D257" s="1" t="s">
        <v>37</v>
      </c>
      <c r="H257" s="8"/>
    </row>
    <row r="258" spans="1:8" x14ac:dyDescent="0.25">
      <c r="A258" s="25">
        <v>258</v>
      </c>
      <c r="B258" s="23" t="s">
        <v>148</v>
      </c>
      <c r="C258" s="1">
        <f>(1-fr)*C254</f>
        <v>4.0000000000000036</v>
      </c>
      <c r="D258" s="1" t="s">
        <v>155</v>
      </c>
      <c r="H258" s="8"/>
    </row>
    <row r="259" spans="1:8" x14ac:dyDescent="0.25">
      <c r="A259" s="25">
        <v>259</v>
      </c>
      <c r="B259" s="23" t="s">
        <v>149</v>
      </c>
      <c r="C259" s="1">
        <f>C258/(SQRT(C253+L)*Sigma_E)</f>
        <v>0.35777087639996663</v>
      </c>
      <c r="H259" s="8"/>
    </row>
    <row r="260" spans="1:8" x14ac:dyDescent="0.25">
      <c r="A260" s="25">
        <v>260</v>
      </c>
      <c r="B260" s="23" t="s">
        <v>150</v>
      </c>
      <c r="C260" s="1">
        <v>0.08</v>
      </c>
      <c r="E260" s="1" t="s">
        <v>151</v>
      </c>
      <c r="H260" s="8"/>
    </row>
    <row r="261" spans="1:8" x14ac:dyDescent="0.25">
      <c r="A261" s="25">
        <v>261</v>
      </c>
      <c r="B261" s="23" t="s">
        <v>156</v>
      </c>
      <c r="C261" s="1">
        <f>C260*SQRT(C253+L)*Sigma_E</f>
        <v>0.89442719099991586</v>
      </c>
      <c r="H261" s="8"/>
    </row>
    <row r="262" spans="1:8" x14ac:dyDescent="0.25">
      <c r="A262" s="25">
        <v>262</v>
      </c>
      <c r="B262" s="23" t="s">
        <v>160</v>
      </c>
      <c r="C262" s="1">
        <f>C261*H</f>
        <v>3.5777087639996634</v>
      </c>
      <c r="H262" s="8"/>
    </row>
    <row r="263" spans="1:8" x14ac:dyDescent="0.25">
      <c r="A263" s="25">
        <v>263</v>
      </c>
      <c r="B263" s="9" t="s">
        <v>85</v>
      </c>
      <c r="C263" s="15">
        <f>C262+C255+C256+C257</f>
        <v>363.57770876399968</v>
      </c>
      <c r="D263" s="9"/>
      <c r="E263" s="14"/>
      <c r="F263" s="14"/>
      <c r="G263" s="14"/>
      <c r="H263" s="10"/>
    </row>
    <row r="264" spans="1:8" x14ac:dyDescent="0.25">
      <c r="A264" s="25">
        <v>264</v>
      </c>
    </row>
    <row r="265" spans="1:8" x14ac:dyDescent="0.25">
      <c r="A265" s="25">
        <v>265</v>
      </c>
      <c r="B265" s="1" t="s">
        <v>182</v>
      </c>
      <c r="C265" s="1">
        <v>5</v>
      </c>
    </row>
    <row r="266" spans="1:8" x14ac:dyDescent="0.25">
      <c r="A266" s="25">
        <v>266</v>
      </c>
      <c r="B266" s="11" t="s">
        <v>63</v>
      </c>
      <c r="C266" s="11">
        <f>C265*D_E</f>
        <v>100</v>
      </c>
      <c r="D266" s="11" t="s">
        <v>152</v>
      </c>
      <c r="E266" s="12"/>
      <c r="F266" s="12"/>
      <c r="G266" s="12"/>
      <c r="H266" s="13"/>
    </row>
    <row r="267" spans="1:8" x14ac:dyDescent="0.25">
      <c r="A267" s="25">
        <v>267</v>
      </c>
      <c r="B267" s="23" t="s">
        <v>154</v>
      </c>
      <c r="C267" s="1">
        <f xml:space="preserve"> (IstEsk*2)*TruckCost/C265</f>
        <v>144</v>
      </c>
      <c r="D267" s="1" t="s">
        <v>37</v>
      </c>
      <c r="H267" s="8"/>
    </row>
    <row r="268" spans="1:8" x14ac:dyDescent="0.25">
      <c r="A268" s="25">
        <v>268</v>
      </c>
      <c r="B268" s="23" t="s">
        <v>120</v>
      </c>
      <c r="C268" s="1">
        <f xml:space="preserve"> D_E * (C265-1) * H / 2</f>
        <v>160</v>
      </c>
      <c r="D268" s="1" t="s">
        <v>37</v>
      </c>
      <c r="H268" s="8"/>
    </row>
    <row r="269" spans="1:8" x14ac:dyDescent="0.25">
      <c r="A269" s="25">
        <v>269</v>
      </c>
      <c r="B269" s="23" t="s">
        <v>153</v>
      </c>
      <c r="C269" s="1">
        <f>D_E*h_RDC</f>
        <v>60</v>
      </c>
      <c r="D269" s="1" t="s">
        <v>37</v>
      </c>
      <c r="H269" s="8"/>
    </row>
    <row r="270" spans="1:8" x14ac:dyDescent="0.25">
      <c r="A270" s="25">
        <v>270</v>
      </c>
      <c r="B270" s="23" t="s">
        <v>148</v>
      </c>
      <c r="C270" s="1">
        <f>(1-fr)*C266</f>
        <v>5.0000000000000044</v>
      </c>
      <c r="D270" s="1" t="s">
        <v>155</v>
      </c>
      <c r="H270" s="8"/>
    </row>
    <row r="271" spans="1:8" x14ac:dyDescent="0.25">
      <c r="A271" s="25">
        <v>271</v>
      </c>
      <c r="B271" s="23" t="s">
        <v>149</v>
      </c>
      <c r="C271" s="1">
        <f>C270/(SQRT(C265+L)*Sigma_E)</f>
        <v>0.40824829046386341</v>
      </c>
      <c r="H271" s="8"/>
    </row>
    <row r="272" spans="1:8" x14ac:dyDescent="0.25">
      <c r="A272" s="25">
        <v>272</v>
      </c>
      <c r="B272" s="23" t="s">
        <v>150</v>
      </c>
      <c r="C272" s="1">
        <v>0</v>
      </c>
      <c r="E272" s="1" t="s">
        <v>151</v>
      </c>
      <c r="H272" s="8"/>
    </row>
    <row r="273" spans="1:9" x14ac:dyDescent="0.25">
      <c r="A273" s="25">
        <v>273</v>
      </c>
      <c r="B273" s="23" t="s">
        <v>156</v>
      </c>
      <c r="C273" s="1">
        <f>C272*SQRT(C265+L)*Sigma_E</f>
        <v>0</v>
      </c>
      <c r="H273" s="8"/>
    </row>
    <row r="274" spans="1:9" x14ac:dyDescent="0.25">
      <c r="A274" s="25">
        <v>274</v>
      </c>
      <c r="B274" s="23" t="s">
        <v>160</v>
      </c>
      <c r="C274" s="1">
        <f>C273*H</f>
        <v>0</v>
      </c>
      <c r="H274" s="8"/>
    </row>
    <row r="275" spans="1:9" x14ac:dyDescent="0.25">
      <c r="A275" s="25">
        <v>275</v>
      </c>
      <c r="B275" s="9" t="s">
        <v>85</v>
      </c>
      <c r="C275" s="9">
        <f>C274+C267+C268+C269</f>
        <v>364</v>
      </c>
      <c r="D275" s="9"/>
      <c r="E275" s="14"/>
      <c r="F275" s="14"/>
      <c r="G275" s="14"/>
      <c r="H275" s="10"/>
    </row>
    <row r="276" spans="1:9" x14ac:dyDescent="0.25">
      <c r="A276" s="25">
        <v>276</v>
      </c>
      <c r="B276" s="23"/>
      <c r="C276" s="23"/>
      <c r="D276" s="23"/>
      <c r="E276" s="28"/>
      <c r="F276" s="28"/>
      <c r="G276" s="28"/>
      <c r="H276" s="28"/>
    </row>
    <row r="277" spans="1:9" x14ac:dyDescent="0.25">
      <c r="A277" s="25">
        <v>277</v>
      </c>
      <c r="B277" s="1" t="s">
        <v>184</v>
      </c>
    </row>
    <row r="278" spans="1:9" x14ac:dyDescent="0.25">
      <c r="A278" s="25">
        <v>278</v>
      </c>
      <c r="B278" s="1" t="s">
        <v>197</v>
      </c>
    </row>
    <row r="279" spans="1:9" x14ac:dyDescent="0.25">
      <c r="A279" s="25">
        <v>279</v>
      </c>
      <c r="B279" s="1" t="s">
        <v>196</v>
      </c>
    </row>
    <row r="280" spans="1:9" x14ac:dyDescent="0.25">
      <c r="A280" s="25">
        <v>280</v>
      </c>
      <c r="B280" s="1" t="s">
        <v>195</v>
      </c>
    </row>
    <row r="281" spans="1:9" x14ac:dyDescent="0.25">
      <c r="A281" s="25">
        <v>281</v>
      </c>
    </row>
    <row r="282" spans="1:9" x14ac:dyDescent="0.25">
      <c r="A282" s="25">
        <v>282</v>
      </c>
    </row>
    <row r="283" spans="1:9" x14ac:dyDescent="0.25">
      <c r="A283" s="25">
        <v>283</v>
      </c>
    </row>
    <row r="284" spans="1:9" x14ac:dyDescent="0.25">
      <c r="A284" s="25">
        <v>284</v>
      </c>
    </row>
    <row r="285" spans="1:9" x14ac:dyDescent="0.25">
      <c r="A285" s="25">
        <v>285</v>
      </c>
    </row>
    <row r="286" spans="1:9" x14ac:dyDescent="0.25">
      <c r="A286" s="25">
        <v>286</v>
      </c>
    </row>
    <row r="287" spans="1:9" ht="14.4" thickBot="1" x14ac:dyDescent="0.3">
      <c r="A287" s="25">
        <v>287</v>
      </c>
    </row>
    <row r="288" spans="1:9" ht="15" customHeight="1" thickBot="1" x14ac:dyDescent="0.3">
      <c r="A288" s="25">
        <v>288</v>
      </c>
      <c r="B288" s="32" t="s">
        <v>186</v>
      </c>
      <c r="C288" s="33"/>
      <c r="D288" s="33"/>
      <c r="E288" s="33"/>
      <c r="F288" s="33"/>
      <c r="G288" s="33"/>
      <c r="H288" s="33"/>
      <c r="I288" s="34"/>
    </row>
    <row r="289" spans="1:9" x14ac:dyDescent="0.25">
      <c r="A289" s="25">
        <v>289</v>
      </c>
      <c r="B289" s="1" t="s">
        <v>202</v>
      </c>
    </row>
    <row r="290" spans="1:9" x14ac:dyDescent="0.25">
      <c r="A290" s="25">
        <v>290</v>
      </c>
      <c r="B290" s="1" t="s">
        <v>189</v>
      </c>
    </row>
    <row r="291" spans="1:9" x14ac:dyDescent="0.25">
      <c r="A291" s="25">
        <v>291</v>
      </c>
      <c r="B291" s="1" t="s">
        <v>190</v>
      </c>
    </row>
    <row r="292" spans="1:9" x14ac:dyDescent="0.25">
      <c r="A292" s="25">
        <v>292</v>
      </c>
      <c r="B292" s="1" t="s">
        <v>191</v>
      </c>
    </row>
    <row r="293" spans="1:9" x14ac:dyDescent="0.25">
      <c r="A293" s="25">
        <v>293</v>
      </c>
    </row>
    <row r="294" spans="1:9" x14ac:dyDescent="0.25">
      <c r="A294" s="25">
        <v>294</v>
      </c>
      <c r="B294" s="1" t="s">
        <v>188</v>
      </c>
    </row>
    <row r="295" spans="1:9" x14ac:dyDescent="0.25">
      <c r="A295" s="25">
        <v>295</v>
      </c>
    </row>
    <row r="296" spans="1:9" x14ac:dyDescent="0.25">
      <c r="A296" s="25">
        <v>296</v>
      </c>
      <c r="B296" s="1" t="s">
        <v>69</v>
      </c>
      <c r="C296" s="1">
        <v>990.4</v>
      </c>
      <c r="D296" s="1" t="s">
        <v>37</v>
      </c>
      <c r="E296" s="2" t="s">
        <v>71</v>
      </c>
    </row>
    <row r="297" spans="1:9" x14ac:dyDescent="0.25">
      <c r="A297" s="25">
        <v>297</v>
      </c>
      <c r="B297" s="1" t="s">
        <v>70</v>
      </c>
      <c r="C297" s="1">
        <v>990</v>
      </c>
      <c r="D297" s="1" t="s">
        <v>37</v>
      </c>
    </row>
    <row r="298" spans="1:9" x14ac:dyDescent="0.25">
      <c r="A298" s="25">
        <v>298</v>
      </c>
    </row>
    <row r="299" spans="1:9" x14ac:dyDescent="0.25">
      <c r="A299" s="25">
        <v>299</v>
      </c>
      <c r="B299" s="1" t="s">
        <v>239</v>
      </c>
    </row>
    <row r="300" spans="1:9" ht="14.4" thickBot="1" x14ac:dyDescent="0.3">
      <c r="A300" s="25">
        <v>300</v>
      </c>
    </row>
    <row r="301" spans="1:9" ht="14.4" thickBot="1" x14ac:dyDescent="0.3">
      <c r="A301" s="25">
        <v>301</v>
      </c>
      <c r="B301" s="32" t="s">
        <v>187</v>
      </c>
      <c r="C301" s="33"/>
      <c r="D301" s="33"/>
      <c r="E301" s="33"/>
      <c r="F301" s="33"/>
      <c r="G301" s="33"/>
      <c r="H301" s="33"/>
      <c r="I301" s="34"/>
    </row>
    <row r="302" spans="1:9" x14ac:dyDescent="0.25">
      <c r="A302" s="25">
        <v>302</v>
      </c>
    </row>
    <row r="303" spans="1:9" x14ac:dyDescent="0.25">
      <c r="A303" s="25">
        <v>303</v>
      </c>
      <c r="B303" s="1" t="s">
        <v>200</v>
      </c>
    </row>
    <row r="304" spans="1:9" x14ac:dyDescent="0.25">
      <c r="A304" s="25">
        <v>304</v>
      </c>
      <c r="B304" s="1" t="s">
        <v>199</v>
      </c>
    </row>
    <row r="305" spans="1:4" x14ac:dyDescent="0.25">
      <c r="A305" s="25">
        <v>305</v>
      </c>
    </row>
    <row r="306" spans="1:4" x14ac:dyDescent="0.25">
      <c r="A306" s="25">
        <v>306</v>
      </c>
      <c r="B306" s="1" t="s">
        <v>201</v>
      </c>
    </row>
    <row r="307" spans="1:4" x14ac:dyDescent="0.25">
      <c r="A307" s="25">
        <v>307</v>
      </c>
      <c r="B307" s="1" t="s">
        <v>194</v>
      </c>
    </row>
    <row r="308" spans="1:4" x14ac:dyDescent="0.25">
      <c r="A308" s="25">
        <v>308</v>
      </c>
    </row>
    <row r="309" spans="1:4" x14ac:dyDescent="0.25">
      <c r="A309" s="25">
        <v>309</v>
      </c>
      <c r="B309" s="1" t="s">
        <v>86</v>
      </c>
      <c r="C309" s="1">
        <v>740.44756169184404</v>
      </c>
    </row>
    <row r="310" spans="1:4" x14ac:dyDescent="0.25">
      <c r="A310" s="25">
        <v>310</v>
      </c>
      <c r="B310" s="1" t="s">
        <v>193</v>
      </c>
      <c r="C310" s="1">
        <v>740.5</v>
      </c>
      <c r="D310" s="1" t="s">
        <v>37</v>
      </c>
    </row>
    <row r="311" spans="1:4" x14ac:dyDescent="0.25">
      <c r="A311" s="25">
        <v>311</v>
      </c>
    </row>
    <row r="312" spans="1:4" x14ac:dyDescent="0.25">
      <c r="A312" s="25">
        <v>312</v>
      </c>
    </row>
    <row r="313" spans="1:4" x14ac:dyDescent="0.25">
      <c r="A313" s="25">
        <v>313</v>
      </c>
    </row>
    <row r="314" spans="1:4" x14ac:dyDescent="0.25">
      <c r="A314" s="25">
        <v>314</v>
      </c>
    </row>
    <row r="315" spans="1:4" x14ac:dyDescent="0.25">
      <c r="A315" s="25">
        <v>315</v>
      </c>
    </row>
    <row r="316" spans="1:4" x14ac:dyDescent="0.25">
      <c r="A316" s="25">
        <v>316</v>
      </c>
    </row>
    <row r="317" spans="1:4" x14ac:dyDescent="0.25">
      <c r="A317" s="25">
        <v>317</v>
      </c>
    </row>
    <row r="318" spans="1:4" x14ac:dyDescent="0.25">
      <c r="A318" s="25">
        <v>318</v>
      </c>
    </row>
    <row r="319" spans="1:4" x14ac:dyDescent="0.25">
      <c r="A319" s="25">
        <v>319</v>
      </c>
    </row>
    <row r="320" spans="1:4" x14ac:dyDescent="0.25">
      <c r="A320" s="25">
        <v>320</v>
      </c>
    </row>
    <row r="321" spans="1:9" x14ac:dyDescent="0.25">
      <c r="A321" s="25">
        <v>321</v>
      </c>
    </row>
    <row r="322" spans="1:9" ht="14.4" thickBot="1" x14ac:dyDescent="0.3">
      <c r="A322" s="25">
        <v>322</v>
      </c>
    </row>
    <row r="323" spans="1:9" ht="14.4" thickBot="1" x14ac:dyDescent="0.3">
      <c r="A323" s="25">
        <v>323</v>
      </c>
      <c r="B323" s="32" t="s">
        <v>198</v>
      </c>
      <c r="C323" s="33"/>
      <c r="D323" s="33"/>
      <c r="E323" s="33"/>
      <c r="F323" s="33"/>
      <c r="G323" s="33"/>
      <c r="H323" s="33"/>
      <c r="I323" s="34"/>
    </row>
    <row r="324" spans="1:9" x14ac:dyDescent="0.25">
      <c r="A324" s="25">
        <v>324</v>
      </c>
    </row>
    <row r="325" spans="1:9" x14ac:dyDescent="0.25">
      <c r="A325" s="25">
        <v>325</v>
      </c>
      <c r="B325" s="1" t="s">
        <v>204</v>
      </c>
    </row>
    <row r="326" spans="1:9" x14ac:dyDescent="0.25">
      <c r="A326" s="25">
        <v>326</v>
      </c>
      <c r="B326" s="1" t="s">
        <v>206</v>
      </c>
    </row>
    <row r="327" spans="1:9" x14ac:dyDescent="0.25">
      <c r="A327" s="25">
        <v>327</v>
      </c>
    </row>
    <row r="328" spans="1:9" x14ac:dyDescent="0.25">
      <c r="A328" s="25">
        <v>328</v>
      </c>
      <c r="B328" s="1" t="s">
        <v>203</v>
      </c>
    </row>
    <row r="329" spans="1:9" x14ac:dyDescent="0.25">
      <c r="A329" s="25">
        <v>329</v>
      </c>
      <c r="B329" s="5" t="s">
        <v>36</v>
      </c>
    </row>
    <row r="330" spans="1:9" x14ac:dyDescent="0.25">
      <c r="A330" s="25">
        <v>330</v>
      </c>
      <c r="B330" s="11" t="s">
        <v>72</v>
      </c>
      <c r="C330" s="11">
        <v>800</v>
      </c>
      <c r="D330" s="11" t="s">
        <v>82</v>
      </c>
      <c r="E330" s="11" t="s">
        <v>73</v>
      </c>
      <c r="F330" s="12"/>
      <c r="G330" s="12"/>
      <c r="H330" s="13"/>
    </row>
    <row r="331" spans="1:9" x14ac:dyDescent="0.25">
      <c r="A331" s="25">
        <v>331</v>
      </c>
      <c r="B331" s="23" t="s">
        <v>74</v>
      </c>
      <c r="C331" s="1">
        <v>141.42135623730951</v>
      </c>
      <c r="D331" s="1" t="s">
        <v>14</v>
      </c>
      <c r="E331" s="1" t="s">
        <v>78</v>
      </c>
      <c r="H331" s="8"/>
    </row>
    <row r="332" spans="1:9" x14ac:dyDescent="0.25">
      <c r="A332" s="25">
        <v>332</v>
      </c>
      <c r="B332" s="23"/>
      <c r="H332" s="8"/>
    </row>
    <row r="333" spans="1:9" x14ac:dyDescent="0.25">
      <c r="A333" s="25">
        <v>333</v>
      </c>
      <c r="B333" s="23" t="s">
        <v>75</v>
      </c>
      <c r="H333" s="8"/>
    </row>
    <row r="334" spans="1:9" x14ac:dyDescent="0.25">
      <c r="A334" s="25">
        <v>334</v>
      </c>
      <c r="B334" s="23" t="s">
        <v>170</v>
      </c>
      <c r="H334" s="8"/>
    </row>
    <row r="335" spans="1:9" x14ac:dyDescent="0.25">
      <c r="A335" s="25">
        <v>335</v>
      </c>
      <c r="B335" s="23"/>
      <c r="H335" s="8"/>
    </row>
    <row r="336" spans="1:9" x14ac:dyDescent="0.25">
      <c r="A336" s="25">
        <v>336</v>
      </c>
      <c r="B336" s="23" t="s">
        <v>92</v>
      </c>
      <c r="C336" s="1">
        <v>600</v>
      </c>
      <c r="D336" s="1" t="s">
        <v>37</v>
      </c>
      <c r="E336" s="1" t="s">
        <v>171</v>
      </c>
      <c r="H336" s="8"/>
    </row>
    <row r="337" spans="1:8" x14ac:dyDescent="0.25">
      <c r="A337" s="25">
        <v>337</v>
      </c>
      <c r="B337" s="23" t="s">
        <v>41</v>
      </c>
      <c r="C337" s="1">
        <v>150</v>
      </c>
      <c r="D337" s="1" t="s">
        <v>37</v>
      </c>
      <c r="E337" s="1" t="s">
        <v>81</v>
      </c>
      <c r="H337" s="8"/>
    </row>
    <row r="338" spans="1:8" x14ac:dyDescent="0.25">
      <c r="A338" s="25">
        <v>338</v>
      </c>
      <c r="B338" s="15" t="s">
        <v>85</v>
      </c>
      <c r="C338" s="15">
        <v>750</v>
      </c>
      <c r="D338" s="9" t="s">
        <v>37</v>
      </c>
      <c r="E338" s="14"/>
      <c r="F338" s="14"/>
      <c r="G338" s="14"/>
      <c r="H338" s="10"/>
    </row>
    <row r="339" spans="1:8" x14ac:dyDescent="0.25">
      <c r="A339" s="25">
        <v>339</v>
      </c>
    </row>
    <row r="340" spans="1:8" x14ac:dyDescent="0.25">
      <c r="A340" s="25">
        <v>340</v>
      </c>
      <c r="B340" s="5" t="s">
        <v>57</v>
      </c>
    </row>
    <row r="341" spans="1:8" x14ac:dyDescent="0.25">
      <c r="A341" s="25">
        <v>341</v>
      </c>
      <c r="B341" s="11" t="s">
        <v>72</v>
      </c>
      <c r="C341" s="11">
        <v>720</v>
      </c>
      <c r="D341" s="11" t="s">
        <v>82</v>
      </c>
      <c r="E341" s="11" t="s">
        <v>77</v>
      </c>
      <c r="F341" s="12"/>
      <c r="G341" s="12"/>
      <c r="H341" s="13"/>
    </row>
    <row r="342" spans="1:8" x14ac:dyDescent="0.25">
      <c r="A342" s="25">
        <v>342</v>
      </c>
      <c r="B342" s="23" t="s">
        <v>76</v>
      </c>
      <c r="C342" s="1">
        <v>84.852813742385706</v>
      </c>
      <c r="D342" s="1" t="s">
        <v>14</v>
      </c>
      <c r="E342" s="1" t="s">
        <v>79</v>
      </c>
      <c r="H342" s="8"/>
    </row>
    <row r="343" spans="1:8" x14ac:dyDescent="0.25">
      <c r="A343" s="25">
        <v>343</v>
      </c>
      <c r="B343" s="23" t="s">
        <v>91</v>
      </c>
      <c r="C343" s="1">
        <v>339.41125496954282</v>
      </c>
      <c r="D343" s="1" t="s">
        <v>37</v>
      </c>
      <c r="E343" s="2" t="s">
        <v>80</v>
      </c>
      <c r="H343" s="8"/>
    </row>
    <row r="344" spans="1:8" x14ac:dyDescent="0.25">
      <c r="A344" s="25">
        <v>344</v>
      </c>
      <c r="B344" s="23" t="s">
        <v>83</v>
      </c>
      <c r="C344" s="1">
        <v>60</v>
      </c>
      <c r="D344" s="1" t="s">
        <v>37</v>
      </c>
      <c r="E344" s="2" t="s">
        <v>84</v>
      </c>
      <c r="H344" s="8"/>
    </row>
    <row r="345" spans="1:8" x14ac:dyDescent="0.25">
      <c r="A345" s="25">
        <v>345</v>
      </c>
      <c r="B345" s="15" t="s">
        <v>85</v>
      </c>
      <c r="C345" s="15">
        <v>399.41125496954282</v>
      </c>
      <c r="D345" s="15" t="s">
        <v>37</v>
      </c>
      <c r="E345" s="14"/>
      <c r="F345" s="14"/>
      <c r="G345" s="14"/>
      <c r="H345" s="10"/>
    </row>
    <row r="346" spans="1:8" x14ac:dyDescent="0.25">
      <c r="A346" s="25">
        <v>346</v>
      </c>
    </row>
    <row r="347" spans="1:8" x14ac:dyDescent="0.25">
      <c r="A347" s="25">
        <v>347</v>
      </c>
      <c r="B347" s="3" t="s">
        <v>86</v>
      </c>
      <c r="C347" s="3">
        <v>1149.4112549695428</v>
      </c>
    </row>
    <row r="348" spans="1:8" x14ac:dyDescent="0.25">
      <c r="A348" s="25">
        <v>348</v>
      </c>
    </row>
    <row r="349" spans="1:8" x14ac:dyDescent="0.25">
      <c r="A349" s="25">
        <v>349</v>
      </c>
      <c r="B349" s="5" t="s">
        <v>88</v>
      </c>
    </row>
    <row r="350" spans="1:8" x14ac:dyDescent="0.25">
      <c r="A350" s="25">
        <v>350</v>
      </c>
      <c r="B350" s="11" t="s">
        <v>65</v>
      </c>
      <c r="C350" s="11">
        <v>920</v>
      </c>
      <c r="D350" s="11" t="s">
        <v>82</v>
      </c>
      <c r="E350" s="12" t="s">
        <v>87</v>
      </c>
      <c r="F350" s="12"/>
      <c r="G350" s="12"/>
      <c r="H350" s="13"/>
    </row>
    <row r="351" spans="1:8" x14ac:dyDescent="0.25">
      <c r="A351" s="25">
        <v>351</v>
      </c>
      <c r="B351" s="23" t="s">
        <v>89</v>
      </c>
      <c r="C351" s="1">
        <v>179.4435844492636</v>
      </c>
      <c r="D351" s="1" t="s">
        <v>14</v>
      </c>
      <c r="E351" s="2" t="s">
        <v>90</v>
      </c>
      <c r="H351" s="8"/>
    </row>
    <row r="352" spans="1:8" x14ac:dyDescent="0.25">
      <c r="A352" s="25">
        <v>352</v>
      </c>
      <c r="B352" s="23"/>
      <c r="H352" s="8"/>
    </row>
    <row r="353" spans="1:8" x14ac:dyDescent="0.25">
      <c r="A353" s="25">
        <v>353</v>
      </c>
      <c r="B353" s="23" t="s">
        <v>192</v>
      </c>
      <c r="H353" s="8"/>
    </row>
    <row r="354" spans="1:8" x14ac:dyDescent="0.25">
      <c r="A354" s="25">
        <v>354</v>
      </c>
      <c r="B354" s="23"/>
      <c r="H354" s="8"/>
    </row>
    <row r="355" spans="1:8" x14ac:dyDescent="0.25">
      <c r="A355" s="25">
        <v>355</v>
      </c>
      <c r="B355" s="23" t="s">
        <v>93</v>
      </c>
      <c r="C355" s="1">
        <v>844</v>
      </c>
      <c r="D355" s="1" t="s">
        <v>37</v>
      </c>
      <c r="E355" s="2" t="s">
        <v>94</v>
      </c>
      <c r="H355" s="8"/>
    </row>
    <row r="356" spans="1:8" x14ac:dyDescent="0.25">
      <c r="A356" s="25">
        <v>356</v>
      </c>
      <c r="B356" s="23" t="s">
        <v>95</v>
      </c>
      <c r="C356" s="1">
        <v>70</v>
      </c>
      <c r="D356" s="1" t="s">
        <v>37</v>
      </c>
      <c r="E356" s="1" t="s">
        <v>96</v>
      </c>
      <c r="H356" s="8"/>
    </row>
    <row r="357" spans="1:8" x14ac:dyDescent="0.25">
      <c r="A357" s="25">
        <v>357</v>
      </c>
      <c r="B357" s="15" t="s">
        <v>97</v>
      </c>
      <c r="C357" s="15">
        <v>914</v>
      </c>
      <c r="D357" s="15" t="s">
        <v>37</v>
      </c>
      <c r="E357" s="14"/>
      <c r="F357" s="14"/>
      <c r="G357" s="14"/>
      <c r="H357" s="10"/>
    </row>
    <row r="358" spans="1:8" x14ac:dyDescent="0.25">
      <c r="A358" s="25">
        <v>358</v>
      </c>
    </row>
    <row r="359" spans="1:8" x14ac:dyDescent="0.25">
      <c r="A359" s="25">
        <v>359</v>
      </c>
      <c r="B359" s="1" t="s">
        <v>205</v>
      </c>
    </row>
    <row r="360" spans="1:8" x14ac:dyDescent="0.25">
      <c r="A360" s="25">
        <v>360</v>
      </c>
      <c r="B360" s="5" t="s">
        <v>36</v>
      </c>
    </row>
    <row r="361" spans="1:8" x14ac:dyDescent="0.25">
      <c r="A361" s="25">
        <v>361</v>
      </c>
      <c r="B361" s="11" t="s">
        <v>72</v>
      </c>
      <c r="C361" s="11">
        <v>3970</v>
      </c>
      <c r="D361" s="11" t="s">
        <v>82</v>
      </c>
      <c r="E361" s="11" t="s">
        <v>73</v>
      </c>
      <c r="F361" s="12"/>
      <c r="G361" s="12"/>
      <c r="H361" s="13"/>
    </row>
    <row r="362" spans="1:8" x14ac:dyDescent="0.25">
      <c r="A362" s="25">
        <v>362</v>
      </c>
      <c r="B362" s="23" t="s">
        <v>74</v>
      </c>
      <c r="C362" s="1">
        <v>315.03968004046726</v>
      </c>
      <c r="D362" s="1" t="s">
        <v>14</v>
      </c>
      <c r="E362" s="1" t="s">
        <v>78</v>
      </c>
      <c r="H362" s="8"/>
    </row>
    <row r="363" spans="1:8" x14ac:dyDescent="0.25">
      <c r="A363" s="25">
        <v>363</v>
      </c>
      <c r="B363" s="23"/>
      <c r="H363" s="8"/>
    </row>
    <row r="364" spans="1:8" x14ac:dyDescent="0.25">
      <c r="A364" s="25">
        <v>364</v>
      </c>
      <c r="B364" s="23" t="s">
        <v>75</v>
      </c>
      <c r="H364" s="8"/>
    </row>
    <row r="365" spans="1:8" x14ac:dyDescent="0.25">
      <c r="A365" s="25">
        <v>365</v>
      </c>
      <c r="B365" s="23" t="s">
        <v>170</v>
      </c>
      <c r="H365" s="8"/>
    </row>
    <row r="366" spans="1:8" x14ac:dyDescent="0.25">
      <c r="A366" s="25">
        <v>366</v>
      </c>
      <c r="B366" s="23"/>
      <c r="H366" s="8"/>
    </row>
    <row r="367" spans="1:8" x14ac:dyDescent="0.25">
      <c r="A367" s="25">
        <v>367</v>
      </c>
      <c r="B367" s="23" t="s">
        <v>92</v>
      </c>
      <c r="C367" s="1">
        <v>1740.3703703703704</v>
      </c>
      <c r="D367" s="1" t="s">
        <v>37</v>
      </c>
      <c r="E367" s="1" t="s">
        <v>171</v>
      </c>
      <c r="H367" s="8"/>
    </row>
    <row r="368" spans="1:8" x14ac:dyDescent="0.25">
      <c r="A368" s="25">
        <v>368</v>
      </c>
      <c r="B368" s="23" t="s">
        <v>41</v>
      </c>
      <c r="C368" s="1">
        <v>150</v>
      </c>
      <c r="D368" s="1" t="s">
        <v>37</v>
      </c>
      <c r="E368" s="1" t="s">
        <v>81</v>
      </c>
      <c r="H368" s="8"/>
    </row>
    <row r="369" spans="1:8" x14ac:dyDescent="0.25">
      <c r="A369" s="25">
        <v>369</v>
      </c>
      <c r="B369" s="15" t="s">
        <v>85</v>
      </c>
      <c r="C369" s="15">
        <v>1890.3703703703704</v>
      </c>
      <c r="D369" s="9" t="s">
        <v>37</v>
      </c>
      <c r="E369" s="14"/>
      <c r="F369" s="14"/>
      <c r="G369" s="14"/>
      <c r="H369" s="10"/>
    </row>
    <row r="370" spans="1:8" x14ac:dyDescent="0.25">
      <c r="A370" s="25">
        <v>370</v>
      </c>
    </row>
    <row r="371" spans="1:8" x14ac:dyDescent="0.25">
      <c r="A371" s="25">
        <v>371</v>
      </c>
      <c r="B371" s="5" t="s">
        <v>57</v>
      </c>
    </row>
    <row r="372" spans="1:8" x14ac:dyDescent="0.25">
      <c r="A372" s="25">
        <v>372</v>
      </c>
      <c r="B372" s="11" t="s">
        <v>72</v>
      </c>
      <c r="C372" s="11">
        <v>3573</v>
      </c>
      <c r="D372" s="11" t="s">
        <v>82</v>
      </c>
      <c r="E372" s="11" t="s">
        <v>77</v>
      </c>
      <c r="F372" s="12"/>
      <c r="G372" s="12"/>
      <c r="H372" s="13"/>
    </row>
    <row r="373" spans="1:8" x14ac:dyDescent="0.25">
      <c r="A373" s="25">
        <v>373</v>
      </c>
      <c r="B373" s="23" t="s">
        <v>76</v>
      </c>
      <c r="C373" s="1">
        <v>189.02380802428036</v>
      </c>
      <c r="D373" s="1" t="s">
        <v>14</v>
      </c>
      <c r="E373" s="1" t="s">
        <v>79</v>
      </c>
      <c r="H373" s="8"/>
    </row>
    <row r="374" spans="1:8" x14ac:dyDescent="0.25">
      <c r="A374" s="25">
        <v>374</v>
      </c>
      <c r="B374" s="23" t="s">
        <v>91</v>
      </c>
      <c r="C374" s="1">
        <v>756.09523209712142</v>
      </c>
      <c r="D374" s="1" t="s">
        <v>37</v>
      </c>
      <c r="E374" s="2" t="s">
        <v>80</v>
      </c>
      <c r="H374" s="8"/>
    </row>
    <row r="375" spans="1:8" x14ac:dyDescent="0.25">
      <c r="A375" s="25">
        <v>375</v>
      </c>
      <c r="B375" s="23" t="s">
        <v>83</v>
      </c>
      <c r="C375" s="1">
        <v>60</v>
      </c>
      <c r="D375" s="1" t="s">
        <v>37</v>
      </c>
      <c r="E375" s="2" t="s">
        <v>84</v>
      </c>
      <c r="H375" s="8"/>
    </row>
    <row r="376" spans="1:8" x14ac:dyDescent="0.25">
      <c r="A376" s="25">
        <v>376</v>
      </c>
      <c r="B376" s="15" t="s">
        <v>85</v>
      </c>
      <c r="C376" s="15">
        <v>816.09523209712142</v>
      </c>
      <c r="D376" s="15" t="s">
        <v>37</v>
      </c>
      <c r="E376" s="14"/>
      <c r="F376" s="14"/>
      <c r="G376" s="14"/>
      <c r="H376" s="10"/>
    </row>
    <row r="377" spans="1:8" x14ac:dyDescent="0.25">
      <c r="A377" s="25">
        <v>377</v>
      </c>
    </row>
    <row r="378" spans="1:8" x14ac:dyDescent="0.25">
      <c r="A378" s="25">
        <v>378</v>
      </c>
      <c r="B378" s="3" t="s">
        <v>86</v>
      </c>
      <c r="C378" s="3">
        <v>2706.4656024674919</v>
      </c>
    </row>
    <row r="379" spans="1:8" x14ac:dyDescent="0.25">
      <c r="A379" s="25">
        <v>379</v>
      </c>
    </row>
    <row r="380" spans="1:8" x14ac:dyDescent="0.25">
      <c r="A380" s="25">
        <v>380</v>
      </c>
      <c r="B380" s="5" t="s">
        <v>88</v>
      </c>
    </row>
    <row r="381" spans="1:8" x14ac:dyDescent="0.25">
      <c r="A381" s="25">
        <v>381</v>
      </c>
      <c r="B381" s="11" t="s">
        <v>65</v>
      </c>
      <c r="C381" s="11">
        <v>4565.5</v>
      </c>
      <c r="D381" s="11" t="s">
        <v>82</v>
      </c>
      <c r="E381" s="12" t="s">
        <v>87</v>
      </c>
      <c r="F381" s="12"/>
      <c r="G381" s="12"/>
      <c r="H381" s="13"/>
    </row>
    <row r="382" spans="1:8" x14ac:dyDescent="0.25">
      <c r="A382" s="25">
        <v>382</v>
      </c>
      <c r="B382" s="23" t="s">
        <v>89</v>
      </c>
      <c r="C382" s="1">
        <v>399.74054085118763</v>
      </c>
      <c r="D382" s="1" t="s">
        <v>14</v>
      </c>
      <c r="E382" s="2" t="s">
        <v>90</v>
      </c>
      <c r="H382" s="8"/>
    </row>
    <row r="383" spans="1:8" x14ac:dyDescent="0.25">
      <c r="A383" s="25">
        <v>383</v>
      </c>
      <c r="B383" s="23"/>
      <c r="H383" s="8"/>
    </row>
    <row r="384" spans="1:8" x14ac:dyDescent="0.25">
      <c r="A384" s="25">
        <v>384</v>
      </c>
      <c r="B384" s="23" t="s">
        <v>192</v>
      </c>
      <c r="H384" s="8"/>
    </row>
    <row r="385" spans="1:9" x14ac:dyDescent="0.25">
      <c r="A385" s="25">
        <v>385</v>
      </c>
      <c r="B385" s="23"/>
      <c r="H385" s="8"/>
    </row>
    <row r="386" spans="1:9" x14ac:dyDescent="0.25">
      <c r="A386" s="25">
        <v>386</v>
      </c>
      <c r="B386" s="23" t="s">
        <v>93</v>
      </c>
      <c r="C386" s="1">
        <v>2637.2962962962961</v>
      </c>
      <c r="D386" s="1" t="s">
        <v>37</v>
      </c>
      <c r="E386" s="2" t="s">
        <v>94</v>
      </c>
      <c r="H386" s="8"/>
    </row>
    <row r="387" spans="1:9" x14ac:dyDescent="0.25">
      <c r="A387" s="25">
        <v>387</v>
      </c>
      <c r="B387" s="23" t="s">
        <v>95</v>
      </c>
      <c r="C387" s="1">
        <v>70</v>
      </c>
      <c r="D387" s="1" t="s">
        <v>37</v>
      </c>
      <c r="E387" s="1" t="s">
        <v>96</v>
      </c>
      <c r="H387" s="8"/>
    </row>
    <row r="388" spans="1:9" x14ac:dyDescent="0.25">
      <c r="A388" s="25">
        <v>388</v>
      </c>
      <c r="B388" s="15" t="s">
        <v>97</v>
      </c>
      <c r="C388" s="15">
        <v>2707.2962962962961</v>
      </c>
      <c r="D388" s="15" t="s">
        <v>37</v>
      </c>
      <c r="E388" s="14"/>
      <c r="F388" s="14"/>
      <c r="G388" s="14"/>
      <c r="H388" s="10"/>
    </row>
    <row r="389" spans="1:9" x14ac:dyDescent="0.25">
      <c r="A389" s="25">
        <v>389</v>
      </c>
    </row>
    <row r="390" spans="1:9" x14ac:dyDescent="0.25">
      <c r="A390" s="25">
        <v>390</v>
      </c>
    </row>
    <row r="391" spans="1:9" x14ac:dyDescent="0.25">
      <c r="A391" s="25">
        <v>391</v>
      </c>
    </row>
    <row r="392" spans="1:9" x14ac:dyDescent="0.25">
      <c r="A392" s="25">
        <v>392</v>
      </c>
    </row>
    <row r="393" spans="1:9" x14ac:dyDescent="0.25">
      <c r="A393" s="25">
        <v>393</v>
      </c>
    </row>
    <row r="394" spans="1:9" ht="14.4" thickBot="1" x14ac:dyDescent="0.3">
      <c r="A394" s="25">
        <v>394</v>
      </c>
    </row>
    <row r="395" spans="1:9" ht="14.4" thickBot="1" x14ac:dyDescent="0.3">
      <c r="A395" s="25">
        <v>395</v>
      </c>
      <c r="B395" s="32" t="s">
        <v>207</v>
      </c>
      <c r="C395" s="33"/>
      <c r="D395" s="33"/>
      <c r="E395" s="33"/>
      <c r="F395" s="33"/>
      <c r="G395" s="33"/>
      <c r="H395" s="33"/>
      <c r="I395" s="34"/>
    </row>
    <row r="396" spans="1:9" x14ac:dyDescent="0.25">
      <c r="A396" s="25">
        <v>396</v>
      </c>
    </row>
    <row r="397" spans="1:9" x14ac:dyDescent="0.25">
      <c r="A397" s="25">
        <v>397</v>
      </c>
      <c r="B397" s="1" t="s">
        <v>233</v>
      </c>
    </row>
    <row r="398" spans="1:9" x14ac:dyDescent="0.25">
      <c r="A398" s="25">
        <v>398</v>
      </c>
      <c r="B398" s="1" t="s">
        <v>210</v>
      </c>
    </row>
    <row r="399" spans="1:9" ht="14.4" thickBot="1" x14ac:dyDescent="0.3">
      <c r="A399" s="25">
        <v>399</v>
      </c>
    </row>
    <row r="400" spans="1:9" ht="14.4" thickBot="1" x14ac:dyDescent="0.3">
      <c r="A400" s="25">
        <v>400</v>
      </c>
      <c r="B400" s="32" t="s">
        <v>209</v>
      </c>
      <c r="C400" s="33"/>
      <c r="D400" s="33"/>
      <c r="E400" s="33"/>
      <c r="F400" s="33"/>
      <c r="G400" s="33"/>
      <c r="H400" s="33"/>
      <c r="I400" s="34"/>
    </row>
    <row r="401" spans="1:2" x14ac:dyDescent="0.25">
      <c r="A401" s="25">
        <v>401</v>
      </c>
    </row>
    <row r="402" spans="1:2" x14ac:dyDescent="0.25">
      <c r="A402" s="25">
        <v>402</v>
      </c>
      <c r="B402" s="1" t="s">
        <v>211</v>
      </c>
    </row>
    <row r="403" spans="1:2" x14ac:dyDescent="0.25">
      <c r="A403" s="25">
        <v>403</v>
      </c>
      <c r="B403" s="1" t="s">
        <v>212</v>
      </c>
    </row>
    <row r="404" spans="1:2" x14ac:dyDescent="0.25">
      <c r="A404" s="25">
        <v>404</v>
      </c>
      <c r="B404" s="1" t="s">
        <v>213</v>
      </c>
    </row>
    <row r="405" spans="1:2" x14ac:dyDescent="0.25">
      <c r="A405" s="25">
        <v>405</v>
      </c>
      <c r="B405" s="1" t="s">
        <v>214</v>
      </c>
    </row>
    <row r="406" spans="1:2" x14ac:dyDescent="0.25">
      <c r="A406" s="25">
        <v>406</v>
      </c>
      <c r="B406" s="1" t="s">
        <v>222</v>
      </c>
    </row>
    <row r="407" spans="1:2" x14ac:dyDescent="0.25">
      <c r="A407" s="25">
        <v>407</v>
      </c>
      <c r="B407" s="1" t="s">
        <v>219</v>
      </c>
    </row>
    <row r="408" spans="1:2" x14ac:dyDescent="0.25">
      <c r="A408" s="25">
        <v>408</v>
      </c>
      <c r="B408" s="17" t="s">
        <v>220</v>
      </c>
    </row>
    <row r="409" spans="1:2" x14ac:dyDescent="0.25">
      <c r="A409" s="25">
        <v>409</v>
      </c>
      <c r="B409" s="17" t="s">
        <v>221</v>
      </c>
    </row>
    <row r="410" spans="1:2" x14ac:dyDescent="0.25">
      <c r="A410" s="25">
        <v>410</v>
      </c>
      <c r="B410" s="17"/>
    </row>
    <row r="411" spans="1:2" x14ac:dyDescent="0.25">
      <c r="A411" s="25">
        <v>411</v>
      </c>
      <c r="B411" s="5" t="s">
        <v>215</v>
      </c>
    </row>
    <row r="412" spans="1:2" x14ac:dyDescent="0.25">
      <c r="A412" s="25">
        <v>412</v>
      </c>
      <c r="B412" s="1" t="s">
        <v>218</v>
      </c>
    </row>
    <row r="413" spans="1:2" x14ac:dyDescent="0.25">
      <c r="A413" s="25">
        <v>413</v>
      </c>
      <c r="B413" s="17" t="s">
        <v>217</v>
      </c>
    </row>
    <row r="414" spans="1:2" x14ac:dyDescent="0.25">
      <c r="A414" s="25">
        <v>414</v>
      </c>
      <c r="B414" s="17" t="s">
        <v>216</v>
      </c>
    </row>
    <row r="415" spans="1:2" x14ac:dyDescent="0.25">
      <c r="A415" s="25">
        <v>415</v>
      </c>
      <c r="B415" s="17" t="s">
        <v>223</v>
      </c>
    </row>
    <row r="416" spans="1:2" x14ac:dyDescent="0.25">
      <c r="A416" s="25">
        <v>416</v>
      </c>
      <c r="B416" s="1" t="s">
        <v>224</v>
      </c>
    </row>
    <row r="417" spans="1:2" x14ac:dyDescent="0.25">
      <c r="A417" s="25">
        <v>417</v>
      </c>
      <c r="B417" s="17" t="s">
        <v>225</v>
      </c>
    </row>
    <row r="418" spans="1:2" x14ac:dyDescent="0.25">
      <c r="A418" s="25">
        <v>418</v>
      </c>
      <c r="B418" s="1" t="s">
        <v>226</v>
      </c>
    </row>
    <row r="419" spans="1:2" x14ac:dyDescent="0.25">
      <c r="A419" s="25">
        <v>419</v>
      </c>
      <c r="B419" s="1" t="s">
        <v>234</v>
      </c>
    </row>
    <row r="420" spans="1:2" x14ac:dyDescent="0.25">
      <c r="A420" s="25">
        <v>420</v>
      </c>
      <c r="B420" s="17" t="s">
        <v>227</v>
      </c>
    </row>
    <row r="421" spans="1:2" x14ac:dyDescent="0.25">
      <c r="A421" s="25">
        <v>421</v>
      </c>
      <c r="B421" s="1" t="s">
        <v>228</v>
      </c>
    </row>
  </sheetData>
  <mergeCells count="11">
    <mergeCell ref="B3:I3"/>
    <mergeCell ref="B323:I323"/>
    <mergeCell ref="B395:I395"/>
    <mergeCell ref="B150:I150"/>
    <mergeCell ref="B400:I400"/>
    <mergeCell ref="B188:I188"/>
    <mergeCell ref="B288:I288"/>
    <mergeCell ref="B301:I301"/>
    <mergeCell ref="B29:I29"/>
    <mergeCell ref="B108:I108"/>
    <mergeCell ref="B144:I14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15</vt:i4>
      </vt:variant>
    </vt:vector>
  </HeadingPairs>
  <TitlesOfParts>
    <vt:vector size="16" baseType="lpstr">
      <vt:lpstr>Sheet1</vt:lpstr>
      <vt:lpstr>D_A</vt:lpstr>
      <vt:lpstr>D_E</vt:lpstr>
      <vt:lpstr>EskAnk</vt:lpstr>
      <vt:lpstr>fr</vt:lpstr>
      <vt:lpstr>H</vt:lpstr>
      <vt:lpstr>h_Milkrun</vt:lpstr>
      <vt:lpstr>h_RDC</vt:lpstr>
      <vt:lpstr>IstAnk</vt:lpstr>
      <vt:lpstr>IstEsk</vt:lpstr>
      <vt:lpstr>L</vt:lpstr>
      <vt:lpstr>Sigma_A</vt:lpstr>
      <vt:lpstr>Sigma_B</vt:lpstr>
      <vt:lpstr>Sigma_E</vt:lpstr>
      <vt:lpstr>TruckCap</vt:lpstr>
      <vt:lpstr>TruckCost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Emin Özyörük</dc:creator>
  <cp:lastModifiedBy>Emin Özyörük</cp:lastModifiedBy>
  <cp:lastPrinted>2019-04-20T13:39:50Z</cp:lastPrinted>
  <dcterms:created xsi:type="dcterms:W3CDTF">2019-04-06T09:37:43Z</dcterms:created>
  <dcterms:modified xsi:type="dcterms:W3CDTF">2019-05-01T09:29:49Z</dcterms:modified>
</cp:coreProperties>
</file>